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15" windowWidth="8010" windowHeight="5925"/>
  </bookViews>
  <sheets>
    <sheet name="Figure2f" sheetId="1" r:id="rId1"/>
    <sheet name="Figure2g" sheetId="3" r:id="rId2"/>
    <sheet name="Supplementary Figure3" sheetId="4" r:id="rId3"/>
  </sheets>
  <calcPr calcId="145621"/>
</workbook>
</file>

<file path=xl/calcChain.xml><?xml version="1.0" encoding="utf-8"?>
<calcChain xmlns="http://schemas.openxmlformats.org/spreadsheetml/2006/main">
  <c r="F17" i="4" l="1"/>
  <c r="E17" i="4"/>
  <c r="D17" i="4"/>
  <c r="C17" i="4"/>
  <c r="B17" i="4"/>
  <c r="F16" i="4"/>
  <c r="E16" i="4"/>
  <c r="D16" i="4"/>
  <c r="C16" i="4"/>
  <c r="B16" i="4"/>
  <c r="F15" i="4"/>
  <c r="E15" i="4"/>
  <c r="D15" i="4"/>
  <c r="C15" i="4"/>
  <c r="B15" i="4"/>
  <c r="F14" i="4"/>
  <c r="E14" i="4"/>
  <c r="D14" i="4"/>
  <c r="C14" i="4"/>
  <c r="B14" i="4"/>
  <c r="F13" i="4"/>
  <c r="E13" i="4"/>
  <c r="D13" i="4"/>
  <c r="C13" i="4"/>
  <c r="B13" i="4"/>
  <c r="F12" i="4"/>
  <c r="E12" i="4"/>
  <c r="D12" i="4"/>
  <c r="C12" i="4"/>
  <c r="B12" i="4"/>
  <c r="F11" i="4"/>
  <c r="E11" i="4"/>
  <c r="D11" i="4"/>
  <c r="C11" i="4"/>
  <c r="B11" i="4"/>
  <c r="F10" i="4"/>
  <c r="E10" i="4"/>
  <c r="D10" i="4"/>
  <c r="C10" i="4"/>
  <c r="B10" i="4"/>
  <c r="F9" i="4"/>
  <c r="E9" i="4"/>
  <c r="D9" i="4"/>
  <c r="C9" i="4"/>
  <c r="B9" i="4"/>
  <c r="F8" i="4"/>
  <c r="E8" i="4"/>
  <c r="D8" i="4"/>
  <c r="C8" i="4"/>
  <c r="B8" i="4"/>
  <c r="F7" i="4"/>
  <c r="E7" i="4"/>
  <c r="D7" i="4"/>
  <c r="C7" i="4"/>
  <c r="B7" i="4"/>
  <c r="F6" i="4"/>
  <c r="E6" i="4"/>
  <c r="D6" i="4"/>
  <c r="C6" i="4"/>
  <c r="B6" i="4"/>
  <c r="F5" i="4"/>
  <c r="E5" i="4"/>
  <c r="D5" i="4"/>
  <c r="C5" i="4"/>
  <c r="B5" i="4"/>
  <c r="F4" i="4"/>
  <c r="E4" i="4"/>
  <c r="D4" i="4"/>
  <c r="C4" i="4"/>
  <c r="B4" i="4"/>
  <c r="C2" i="1" l="1"/>
  <c r="D2" i="1" s="1"/>
  <c r="E2" i="1" s="1"/>
  <c r="G2" i="1"/>
  <c r="H2" i="1" l="1"/>
  <c r="J2" i="1"/>
  <c r="K2" i="1" s="1"/>
  <c r="I2" i="1" s="1"/>
  <c r="F2" i="1"/>
  <c r="C3" i="1"/>
  <c r="J3" i="1" s="1"/>
  <c r="K3" i="1" s="1"/>
  <c r="I3" i="1" s="1"/>
  <c r="C4" i="1"/>
  <c r="J4" i="1" s="1"/>
  <c r="K4" i="1" s="1"/>
  <c r="I4" i="1" s="1"/>
  <c r="C5" i="1"/>
  <c r="J5" i="1" s="1"/>
  <c r="K5" i="1" s="1"/>
  <c r="I5" i="1" s="1"/>
  <c r="C6" i="1"/>
  <c r="J6" i="1" s="1"/>
  <c r="K6" i="1" s="1"/>
  <c r="I6" i="1" s="1"/>
  <c r="C7" i="1"/>
  <c r="J7" i="1" s="1"/>
  <c r="K7" i="1" s="1"/>
  <c r="I7" i="1" s="1"/>
  <c r="C8" i="1"/>
  <c r="J8" i="1" s="1"/>
  <c r="K8" i="1" s="1"/>
  <c r="I8" i="1" s="1"/>
  <c r="C9" i="1"/>
  <c r="J9" i="1" s="1"/>
  <c r="K9" i="1" s="1"/>
  <c r="I9" i="1" s="1"/>
  <c r="C10" i="1"/>
  <c r="J10" i="1" s="1"/>
  <c r="K10" i="1" s="1"/>
  <c r="I10" i="1" s="1"/>
  <c r="C11" i="1"/>
  <c r="J11" i="1" s="1"/>
  <c r="K11" i="1" s="1"/>
  <c r="I11" i="1" s="1"/>
  <c r="C12" i="1"/>
  <c r="J12" i="1" s="1"/>
  <c r="K12" i="1" s="1"/>
  <c r="I12" i="1" s="1"/>
  <c r="C13" i="1"/>
  <c r="J13" i="1" s="1"/>
  <c r="K13" i="1" s="1"/>
  <c r="I13" i="1" s="1"/>
  <c r="C14" i="1"/>
  <c r="J14" i="1" s="1"/>
  <c r="K14" i="1" s="1"/>
  <c r="I14" i="1" s="1"/>
  <c r="C15" i="1"/>
  <c r="J15" i="1" s="1"/>
  <c r="K15" i="1" s="1"/>
  <c r="I15" i="1" s="1"/>
  <c r="C16" i="1"/>
  <c r="J16" i="1" s="1"/>
  <c r="K16" i="1" s="1"/>
  <c r="I16" i="1" s="1"/>
  <c r="L2" i="1" l="1"/>
  <c r="D3" i="1" l="1"/>
  <c r="D5" i="1"/>
  <c r="F6" i="1"/>
  <c r="F8" i="1"/>
  <c r="D9" i="1"/>
  <c r="F12" i="1"/>
  <c r="D15" i="1"/>
  <c r="D16" i="1"/>
  <c r="D7" i="1"/>
  <c r="D14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D11" i="1"/>
  <c r="D10" i="1"/>
  <c r="F7" i="1"/>
  <c r="D13" i="1"/>
  <c r="F4" i="1"/>
  <c r="D6" i="1" l="1"/>
  <c r="D8" i="1"/>
  <c r="D12" i="1"/>
  <c r="F3" i="1"/>
  <c r="F14" i="1"/>
  <c r="F16" i="1"/>
  <c r="F9" i="1"/>
  <c r="D4" i="1"/>
  <c r="F5" i="1"/>
  <c r="F15" i="1"/>
  <c r="F11" i="1"/>
  <c r="F10" i="1"/>
  <c r="E13" i="1"/>
  <c r="F13" i="1"/>
  <c r="H13" i="1" l="1"/>
  <c r="L13" i="1" s="1"/>
  <c r="E10" i="1"/>
  <c r="E11" i="1"/>
  <c r="E12" i="1"/>
  <c r="E9" i="1"/>
  <c r="E14" i="1"/>
  <c r="E15" i="1"/>
  <c r="E16" i="1"/>
  <c r="E6" i="1"/>
  <c r="E7" i="1"/>
  <c r="E8" i="1"/>
  <c r="E3" i="1"/>
  <c r="E4" i="1"/>
  <c r="E5" i="1"/>
  <c r="H5" i="1" l="1"/>
  <c r="L5" i="1" s="1"/>
  <c r="H7" i="1"/>
  <c r="L7" i="1" s="1"/>
  <c r="H14" i="1"/>
  <c r="L14" i="1" s="1"/>
  <c r="H10" i="1"/>
  <c r="L10" i="1" s="1"/>
  <c r="H6" i="1"/>
  <c r="L6" i="1" s="1"/>
  <c r="H9" i="1"/>
  <c r="L9" i="1" s="1"/>
  <c r="H16" i="1"/>
  <c r="L16" i="1" s="1"/>
  <c r="H12" i="1"/>
  <c r="L12" i="1" s="1"/>
  <c r="H8" i="1"/>
  <c r="L8" i="1" s="1"/>
  <c r="H15" i="1"/>
  <c r="L15" i="1" s="1"/>
  <c r="H11" i="1"/>
  <c r="L11" i="1" s="1"/>
  <c r="H4" i="1"/>
  <c r="L4" i="1" s="1"/>
  <c r="H3" i="1"/>
  <c r="L3" i="1" s="1"/>
</calcChain>
</file>

<file path=xl/sharedStrings.xml><?xml version="1.0" encoding="utf-8"?>
<sst xmlns="http://schemas.openxmlformats.org/spreadsheetml/2006/main" count="18" uniqueCount="15">
  <si>
    <t>Na spectrum for PBDT with varying concentration</t>
  </si>
  <si>
    <t>Temperature (K)</t>
  </si>
  <si>
    <t>Conc</t>
  </si>
  <si>
    <t>Splitting(kHz)</t>
  </si>
  <si>
    <t>rod rod distance nm</t>
  </si>
  <si>
    <t>costheta2</t>
  </si>
  <si>
    <t>theta</t>
  </si>
  <si>
    <t xml:space="preserve"> 3 cos2-1</t>
  </si>
  <si>
    <t>P2cos</t>
  </si>
  <si>
    <t>error</t>
  </si>
  <si>
    <t>P2cos_error</t>
  </si>
  <si>
    <t>T1 and T2 for Na in differnet concentration of PBDT solutions</t>
  </si>
  <si>
    <t>Concentration</t>
  </si>
  <si>
    <t>T2(ms)</t>
  </si>
  <si>
    <t>T1(ms) Two satellite and one middle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</si>
</sst>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6">
    <xf numFmtId="0" fontId="0" fillId="0" borderId="0" xfId="0"/>
    <xf numFmtId="0" fontId="0" fillId="0" borderId="0" xfId="0" applyNumberFormat="1"/>
    <xf numFmtId="0" fontId="0" fillId="0" borderId="0" xfId="0"/>
    <xf numFmtId="9" fontId="0" fillId="0" borderId="0" xfId="0" applyNumberFormat="1"/>
    <xf numFmtId="164" fontId="0" fillId="0" borderId="0" xfId="1" applyNumberFormat="1" applyFont="1"/>
    <xf numFmtId="0" fontId="0" fillId="0" borderId="0" xfId="0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842607174103236"/>
          <c:y val="0.13317147856517936"/>
          <c:w val="0.59188735783027124"/>
          <c:h val="0.63448235637212014"/>
        </c:manualLayout>
      </c:layout>
      <c:scatterChart>
        <c:scatterStyle val="lineMarker"/>
        <c:varyColors val="0"/>
        <c:ser>
          <c:idx val="0"/>
          <c:order val="0"/>
          <c:tx>
            <c:v>Experimental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Figure2f!$G$3:$G$16</c:f>
              <c:numCache>
                <c:formatCode>General</c:formatCode>
                <c:ptCount val="14"/>
                <c:pt idx="0">
                  <c:v>3.0065897858319608</c:v>
                </c:pt>
                <c:pt idx="1">
                  <c:v>3.664416586306654</c:v>
                </c:pt>
                <c:pt idx="2">
                  <c:v>5.1914725621792339</c:v>
                </c:pt>
                <c:pt idx="3">
                  <c:v>5.8623449379751902</c:v>
                </c:pt>
                <c:pt idx="4">
                  <c:v>6.9293209265491988</c:v>
                </c:pt>
                <c:pt idx="5">
                  <c:v>7.4225599064874341</c:v>
                </c:pt>
                <c:pt idx="6">
                  <c:v>8.7345801830481484</c:v>
                </c:pt>
                <c:pt idx="7">
                  <c:v>10.193679918450561</c:v>
                </c:pt>
                <c:pt idx="8">
                  <c:v>10.781563126252506</c:v>
                </c:pt>
                <c:pt idx="9">
                  <c:v>12.734556188066627</c:v>
                </c:pt>
                <c:pt idx="10">
                  <c:v>13.169464428457237</c:v>
                </c:pt>
                <c:pt idx="11">
                  <c:v>14.280786478095894</c:v>
                </c:pt>
                <c:pt idx="12">
                  <c:v>15.423443634324174</c:v>
                </c:pt>
                <c:pt idx="13">
                  <c:v>20.8</c:v>
                </c:pt>
              </c:numCache>
            </c:numRef>
          </c:xVal>
          <c:yVal>
            <c:numRef>
              <c:f>Figure2f!$B$3:$B$16</c:f>
              <c:numCache>
                <c:formatCode>General</c:formatCode>
                <c:ptCount val="14"/>
                <c:pt idx="0">
                  <c:v>-5.2140000000000004</c:v>
                </c:pt>
                <c:pt idx="1">
                  <c:v>-4.923</c:v>
                </c:pt>
                <c:pt idx="2">
                  <c:v>-3.609</c:v>
                </c:pt>
                <c:pt idx="3">
                  <c:v>-3.0419999999999998</c:v>
                </c:pt>
                <c:pt idx="4">
                  <c:v>-1.849</c:v>
                </c:pt>
                <c:pt idx="5">
                  <c:v>-1.3859999999999999</c:v>
                </c:pt>
                <c:pt idx="6">
                  <c:v>-0.53200000000000003</c:v>
                </c:pt>
                <c:pt idx="7">
                  <c:v>0.54100000000000004</c:v>
                </c:pt>
                <c:pt idx="8">
                  <c:v>0.90200000000000002</c:v>
                </c:pt>
                <c:pt idx="9">
                  <c:v>2.0259999999999998</c:v>
                </c:pt>
                <c:pt idx="10">
                  <c:v>2.1709999999999998</c:v>
                </c:pt>
                <c:pt idx="11">
                  <c:v>2.7759999999999998</c:v>
                </c:pt>
                <c:pt idx="12">
                  <c:v>3.76</c:v>
                </c:pt>
                <c:pt idx="13">
                  <c:v>4.4589999999999996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6524928"/>
        <c:axId val="267338112"/>
      </c:scatterChart>
      <c:scatterChart>
        <c:scatterStyle val="lineMarker"/>
        <c:varyColors val="0"/>
        <c:ser>
          <c:idx val="2"/>
          <c:order val="1"/>
          <c:tx>
            <c:v>Model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Figure2f!$L$2:$L$16</c:f>
                <c:numCache>
                  <c:formatCode>General</c:formatCode>
                  <c:ptCount val="15"/>
                  <c:pt idx="0">
                    <c:v>3.3616267890484941E-2</c:v>
                  </c:pt>
                  <c:pt idx="1">
                    <c:v>4.3092810931016634E-2</c:v>
                  </c:pt>
                  <c:pt idx="2">
                    <c:v>4.7699594208605145E-2</c:v>
                  </c:pt>
                  <c:pt idx="3">
                    <c:v>5.5545439575621136E-2</c:v>
                  </c:pt>
                  <c:pt idx="4">
                    <c:v>5.8089505901521232E-2</c:v>
                  </c:pt>
                  <c:pt idx="5">
                    <c:v>6.133466426730505E-2</c:v>
                  </c:pt>
                  <c:pt idx="6">
                    <c:v>6.2567252221164216E-2</c:v>
                  </c:pt>
                  <c:pt idx="7">
                    <c:v>6.5210637851777664E-2</c:v>
                  </c:pt>
                  <c:pt idx="8">
                    <c:v>6.7323197518899813E-2</c:v>
                  </c:pt>
                  <c:pt idx="9">
                    <c:v>6.7987022432849598E-2</c:v>
                  </c:pt>
                  <c:pt idx="10">
                    <c:v>6.9618532413879941E-2</c:v>
                  </c:pt>
                  <c:pt idx="11">
                    <c:v>6.9884780857818685E-2</c:v>
                  </c:pt>
                  <c:pt idx="12">
                    <c:v>7.0439231159927451E-2</c:v>
                  </c:pt>
                  <c:pt idx="13">
                    <c:v>7.0850908500666776E-2</c:v>
                  </c:pt>
                  <c:pt idx="14">
                    <c:v>7.1410229638094957E-2</c:v>
                  </c:pt>
                </c:numCache>
              </c:numRef>
            </c:plus>
            <c:minus>
              <c:numRef>
                <c:f>Figure2f!$L$2:$L$16</c:f>
                <c:numCache>
                  <c:formatCode>General</c:formatCode>
                  <c:ptCount val="15"/>
                  <c:pt idx="0">
                    <c:v>3.3616267890484941E-2</c:v>
                  </c:pt>
                  <c:pt idx="1">
                    <c:v>4.3092810931016634E-2</c:v>
                  </c:pt>
                  <c:pt idx="2">
                    <c:v>4.7699594208605145E-2</c:v>
                  </c:pt>
                  <c:pt idx="3">
                    <c:v>5.5545439575621136E-2</c:v>
                  </c:pt>
                  <c:pt idx="4">
                    <c:v>5.8089505901521232E-2</c:v>
                  </c:pt>
                  <c:pt idx="5">
                    <c:v>6.133466426730505E-2</c:v>
                  </c:pt>
                  <c:pt idx="6">
                    <c:v>6.2567252221164216E-2</c:v>
                  </c:pt>
                  <c:pt idx="7">
                    <c:v>6.5210637851777664E-2</c:v>
                  </c:pt>
                  <c:pt idx="8">
                    <c:v>6.7323197518899813E-2</c:v>
                  </c:pt>
                  <c:pt idx="9">
                    <c:v>6.7987022432849598E-2</c:v>
                  </c:pt>
                  <c:pt idx="10">
                    <c:v>6.9618532413879941E-2</c:v>
                  </c:pt>
                  <c:pt idx="11">
                    <c:v>6.9884780857818685E-2</c:v>
                  </c:pt>
                  <c:pt idx="12">
                    <c:v>7.0439231159927451E-2</c:v>
                  </c:pt>
                  <c:pt idx="13">
                    <c:v>7.0850908500666776E-2</c:v>
                  </c:pt>
                  <c:pt idx="14">
                    <c:v>7.1410229638094957E-2</c:v>
                  </c:pt>
                </c:numCache>
              </c:numRef>
            </c:minus>
          </c:errBars>
          <c:xVal>
            <c:numRef>
              <c:f>Figure2f!$G$3:$G$16</c:f>
              <c:numCache>
                <c:formatCode>General</c:formatCode>
                <c:ptCount val="14"/>
                <c:pt idx="0">
                  <c:v>3.0065897858319608</c:v>
                </c:pt>
                <c:pt idx="1">
                  <c:v>3.664416586306654</c:v>
                </c:pt>
                <c:pt idx="2">
                  <c:v>5.1914725621792339</c:v>
                </c:pt>
                <c:pt idx="3">
                  <c:v>5.8623449379751902</c:v>
                </c:pt>
                <c:pt idx="4">
                  <c:v>6.9293209265491988</c:v>
                </c:pt>
                <c:pt idx="5">
                  <c:v>7.4225599064874341</c:v>
                </c:pt>
                <c:pt idx="6">
                  <c:v>8.7345801830481484</c:v>
                </c:pt>
                <c:pt idx="7">
                  <c:v>10.193679918450561</c:v>
                </c:pt>
                <c:pt idx="8">
                  <c:v>10.781563126252506</c:v>
                </c:pt>
                <c:pt idx="9">
                  <c:v>12.734556188066627</c:v>
                </c:pt>
                <c:pt idx="10">
                  <c:v>13.169464428457237</c:v>
                </c:pt>
                <c:pt idx="11">
                  <c:v>14.280786478095894</c:v>
                </c:pt>
                <c:pt idx="12">
                  <c:v>15.423443634324174</c:v>
                </c:pt>
                <c:pt idx="13">
                  <c:v>20.8</c:v>
                </c:pt>
              </c:numCache>
            </c:numRef>
          </c:xVal>
          <c:yVal>
            <c:numRef>
              <c:f>Figure2f!$H$3:$H$16</c:f>
              <c:numCache>
                <c:formatCode>General</c:formatCode>
                <c:ptCount val="14"/>
                <c:pt idx="0">
                  <c:v>-0.20051169162193228</c:v>
                </c:pt>
                <c:pt idx="1">
                  <c:v>-0.15810243400596691</c:v>
                </c:pt>
                <c:pt idx="2">
                  <c:v>-7.5581358237094443E-2</c:v>
                </c:pt>
                <c:pt idx="3">
                  <c:v>-4.4762946300052675E-2</c:v>
                </c:pt>
                <c:pt idx="4">
                  <c:v>-9.9690466834823077E-4</c:v>
                </c:pt>
                <c:pt idx="5">
                  <c:v>1.7381595690454721E-2</c:v>
                </c:pt>
                <c:pt idx="6">
                  <c:v>6.1551347996648964E-2</c:v>
                </c:pt>
                <c:pt idx="7">
                  <c:v>0.10404889649702453</c:v>
                </c:pt>
                <c:pt idx="8">
                  <c:v>0.11954381321087459</c:v>
                </c:pt>
                <c:pt idx="9">
                  <c:v>0.16555091565762881</c:v>
                </c:pt>
                <c:pt idx="10">
                  <c:v>0.17480439118139535</c:v>
                </c:pt>
                <c:pt idx="11">
                  <c:v>0.19705140972545587</c:v>
                </c:pt>
                <c:pt idx="12">
                  <c:v>0.21805436570755121</c:v>
                </c:pt>
                <c:pt idx="13">
                  <c:v>0.29770987021575457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7354496"/>
        <c:axId val="267340032"/>
      </c:scatterChart>
      <c:valAx>
        <c:axId val="266524928"/>
        <c:scaling>
          <c:orientation val="minMax"/>
          <c:max val="22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Polymer wt%</a:t>
                </a:r>
              </a:p>
            </c:rich>
          </c:tx>
          <c:layout>
            <c:manualLayout>
              <c:xMode val="edge"/>
              <c:yMode val="edge"/>
              <c:x val="0.36325174978127739"/>
              <c:y val="0.88180555555555551"/>
            </c:manualLayout>
          </c:layout>
          <c:overlay val="0"/>
        </c:title>
        <c:numFmt formatCode="General" sourceLinked="1"/>
        <c:majorTickMark val="out"/>
        <c:minorTickMark val="out"/>
        <c:tickLblPos val="nextTo"/>
        <c:spPr>
          <a:ln>
            <a:solidFill>
              <a:schemeClr val="tx1"/>
            </a:solidFill>
          </a:ln>
        </c:spPr>
        <c:crossAx val="267338112"/>
        <c:crossesAt val="-6"/>
        <c:crossBetween val="midCat"/>
        <c:majorUnit val="5"/>
        <c:minorUnit val="2.5"/>
      </c:valAx>
      <c:valAx>
        <c:axId val="2673381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b="0" baseline="30000"/>
                  <a:t>23</a:t>
                </a:r>
                <a:r>
                  <a:rPr lang="en-US" b="0"/>
                  <a:t>Na splitting (kHz)</a:t>
                </a:r>
              </a:p>
            </c:rich>
          </c:tx>
          <c:layout>
            <c:manualLayout>
              <c:xMode val="edge"/>
              <c:yMode val="edge"/>
              <c:x val="5.0416666666666658E-2"/>
              <c:y val="0.14623432487605717"/>
            </c:manualLayout>
          </c:layout>
          <c:overlay val="0"/>
        </c:title>
        <c:numFmt formatCode="General" sourceLinked="1"/>
        <c:majorTickMark val="out"/>
        <c:minorTickMark val="out"/>
        <c:tickLblPos val="nextTo"/>
        <c:spPr>
          <a:ln>
            <a:solidFill>
              <a:schemeClr val="tx1"/>
            </a:solidFill>
          </a:ln>
        </c:spPr>
        <c:crossAx val="266524928"/>
        <c:crossesAt val="-6"/>
        <c:crossBetween val="midCat"/>
        <c:majorUnit val="3"/>
        <c:minorUnit val="3"/>
      </c:valAx>
      <c:valAx>
        <c:axId val="267340032"/>
        <c:scaling>
          <c:orientation val="minMax"/>
          <c:max val="0.30000000000000004"/>
          <c:min val="-0.30000000000000004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600">
                    <a:solidFill>
                      <a:srgbClr val="FF0000"/>
                    </a:solidFill>
                  </a:defRPr>
                </a:pPr>
                <a:r>
                  <a:rPr lang="en-US" sz="1600" b="0" i="0" baseline="0">
                    <a:solidFill>
                      <a:srgbClr val="FF0000"/>
                    </a:solidFill>
                    <a:effectLst/>
                  </a:rPr>
                  <a:t>P</a:t>
                </a:r>
                <a:r>
                  <a:rPr lang="en-US" sz="1600" b="0" i="0" baseline="-25000">
                    <a:solidFill>
                      <a:srgbClr val="FF0000"/>
                    </a:solidFill>
                    <a:effectLst/>
                  </a:rPr>
                  <a:t>2</a:t>
                </a:r>
                <a:r>
                  <a:rPr lang="en-US" sz="1600" b="0" i="0" baseline="0">
                    <a:solidFill>
                      <a:srgbClr val="FF0000"/>
                    </a:solidFill>
                    <a:effectLst/>
                  </a:rPr>
                  <a:t>(cos</a:t>
                </a:r>
                <a:r>
                  <a:rPr lang="el-GR" sz="1600" b="0" i="0" baseline="0">
                    <a:solidFill>
                      <a:srgbClr val="FF0000"/>
                    </a:solidFill>
                    <a:effectLst/>
                  </a:rPr>
                  <a:t>θ</a:t>
                </a:r>
                <a:r>
                  <a:rPr lang="en-US" sz="1600" b="0" i="0" baseline="-25000">
                    <a:solidFill>
                      <a:srgbClr val="FF0000"/>
                    </a:solidFill>
                    <a:effectLst/>
                  </a:rPr>
                  <a:t>Q</a:t>
                </a:r>
                <a:r>
                  <a:rPr lang="en-US" sz="1600" b="0" i="0" baseline="0">
                    <a:solidFill>
                      <a:srgbClr val="FF0000"/>
                    </a:solidFill>
                    <a:effectLst/>
                  </a:rPr>
                  <a:t>)</a:t>
                </a:r>
                <a:endParaRPr lang="en-US" sz="1600">
                  <a:solidFill>
                    <a:srgbClr val="FF0000"/>
                  </a:solidFill>
                  <a:effectLst/>
                </a:endParaRPr>
              </a:p>
            </c:rich>
          </c:tx>
          <c:layout>
            <c:manualLayout>
              <c:xMode val="edge"/>
              <c:yMode val="edge"/>
              <c:x val="0.9324339457567804"/>
              <c:y val="0.2663615485564304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FF0000"/>
            </a:solidFill>
          </a:ln>
        </c:spPr>
        <c:txPr>
          <a:bodyPr/>
          <a:lstStyle/>
          <a:p>
            <a:pPr>
              <a:defRPr baseline="0">
                <a:solidFill>
                  <a:srgbClr val="FF0000"/>
                </a:solidFill>
              </a:defRPr>
            </a:pPr>
            <a:endParaRPr lang="en-US"/>
          </a:p>
        </c:txPr>
        <c:crossAx val="267354496"/>
        <c:crosses val="max"/>
        <c:crossBetween val="midCat"/>
        <c:majorUnit val="0.15000000000000002"/>
        <c:minorUnit val="0.15000000000000002"/>
      </c:valAx>
      <c:valAx>
        <c:axId val="267354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734003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7006342957130358"/>
          <c:y val="4.6205161854768152E-3"/>
          <c:w val="0.68826990376202979"/>
          <c:h val="0.12501822688830563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600" baseline="0"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821790692866796"/>
          <c:y val="9.0424095720009229E-2"/>
          <c:w val="0.74498026074577572"/>
          <c:h val="0.72768376669122636"/>
        </c:manualLayout>
      </c:layout>
      <c:scatterChart>
        <c:scatterStyle val="smoothMarker"/>
        <c:varyColors val="0"/>
        <c:ser>
          <c:idx val="2"/>
          <c:order val="0"/>
          <c:tx>
            <c:v>4%</c:v>
          </c:tx>
          <c:spPr>
            <a:ln w="12700">
              <a:solidFill>
                <a:srgbClr val="00B050"/>
              </a:solidFill>
            </a:ln>
          </c:spPr>
          <c:marker>
            <c:symbol val="circle"/>
            <c:size val="7"/>
            <c:spPr>
              <a:noFill/>
              <a:ln>
                <a:solidFill>
                  <a:srgbClr val="00B050"/>
                </a:solidFill>
              </a:ln>
            </c:spPr>
          </c:marker>
          <c:xVal>
            <c:numRef>
              <c:f>Figure2g!$A$3:$A$14</c:f>
              <c:numCache>
                <c:formatCode>General</c:formatCode>
                <c:ptCount val="12"/>
                <c:pt idx="0">
                  <c:v>298.14999999999998</c:v>
                </c:pt>
                <c:pt idx="1">
                  <c:v>303.14999999999998</c:v>
                </c:pt>
                <c:pt idx="2">
                  <c:v>308.14999999999998</c:v>
                </c:pt>
                <c:pt idx="3">
                  <c:v>313.14999999999998</c:v>
                </c:pt>
                <c:pt idx="4">
                  <c:v>318.14999999999998</c:v>
                </c:pt>
                <c:pt idx="5">
                  <c:v>323.14999999999998</c:v>
                </c:pt>
                <c:pt idx="6">
                  <c:v>328.15</c:v>
                </c:pt>
                <c:pt idx="7">
                  <c:v>333.15</c:v>
                </c:pt>
                <c:pt idx="8">
                  <c:v>338.15</c:v>
                </c:pt>
                <c:pt idx="9">
                  <c:v>343.15</c:v>
                </c:pt>
                <c:pt idx="10">
                  <c:v>348.15</c:v>
                </c:pt>
                <c:pt idx="11">
                  <c:v>353.15</c:v>
                </c:pt>
              </c:numCache>
            </c:numRef>
          </c:xVal>
          <c:yVal>
            <c:numRef>
              <c:f>Figure2g!$C$3:$C$14</c:f>
              <c:numCache>
                <c:formatCode>General</c:formatCode>
                <c:ptCount val="12"/>
                <c:pt idx="0">
                  <c:v>4.923</c:v>
                </c:pt>
                <c:pt idx="1">
                  <c:v>5.2780000000000005</c:v>
                </c:pt>
                <c:pt idx="2">
                  <c:v>5.62</c:v>
                </c:pt>
                <c:pt idx="3">
                  <c:v>5.9710000000000001</c:v>
                </c:pt>
                <c:pt idx="4">
                  <c:v>6.327</c:v>
                </c:pt>
                <c:pt idx="5">
                  <c:v>6.6790000000000003</c:v>
                </c:pt>
                <c:pt idx="6">
                  <c:v>7.0120000000000005</c:v>
                </c:pt>
                <c:pt idx="7">
                  <c:v>7.335</c:v>
                </c:pt>
                <c:pt idx="8">
                  <c:v>7.601</c:v>
                </c:pt>
                <c:pt idx="9">
                  <c:v>7.7880000000000003</c:v>
                </c:pt>
                <c:pt idx="10">
                  <c:v>7.8840000000000003</c:v>
                </c:pt>
                <c:pt idx="11">
                  <c:v>7.98</c:v>
                </c:pt>
              </c:numCache>
            </c:numRef>
          </c:yVal>
          <c:smooth val="1"/>
        </c:ser>
        <c:ser>
          <c:idx val="1"/>
          <c:order val="1"/>
          <c:tx>
            <c:v>6%</c:v>
          </c:tx>
          <c:spPr>
            <a:ln w="12700">
              <a:solidFill>
                <a:srgbClr val="92D050"/>
              </a:solidFill>
            </a:ln>
          </c:spPr>
          <c:marker>
            <c:symbol val="circle"/>
            <c:size val="7"/>
            <c:spPr>
              <a:noFill/>
              <a:ln>
                <a:solidFill>
                  <a:srgbClr val="92D050"/>
                </a:solidFill>
              </a:ln>
            </c:spPr>
          </c:marker>
          <c:xVal>
            <c:numRef>
              <c:f>Figure2g!$A$3:$A$14</c:f>
              <c:numCache>
                <c:formatCode>General</c:formatCode>
                <c:ptCount val="12"/>
                <c:pt idx="0">
                  <c:v>298.14999999999998</c:v>
                </c:pt>
                <c:pt idx="1">
                  <c:v>303.14999999999998</c:v>
                </c:pt>
                <c:pt idx="2">
                  <c:v>308.14999999999998</c:v>
                </c:pt>
                <c:pt idx="3">
                  <c:v>313.14999999999998</c:v>
                </c:pt>
                <c:pt idx="4">
                  <c:v>318.14999999999998</c:v>
                </c:pt>
                <c:pt idx="5">
                  <c:v>323.14999999999998</c:v>
                </c:pt>
                <c:pt idx="6">
                  <c:v>328.15</c:v>
                </c:pt>
                <c:pt idx="7">
                  <c:v>333.15</c:v>
                </c:pt>
                <c:pt idx="8">
                  <c:v>338.15</c:v>
                </c:pt>
                <c:pt idx="9">
                  <c:v>343.15</c:v>
                </c:pt>
                <c:pt idx="10">
                  <c:v>348.15</c:v>
                </c:pt>
                <c:pt idx="11">
                  <c:v>353.15</c:v>
                </c:pt>
              </c:numCache>
            </c:numRef>
          </c:xVal>
          <c:yVal>
            <c:numRef>
              <c:f>Figure2g!$D$3:$D$14</c:f>
              <c:numCache>
                <c:formatCode>General</c:formatCode>
                <c:ptCount val="12"/>
                <c:pt idx="0">
                  <c:v>3.0420000000000003</c:v>
                </c:pt>
                <c:pt idx="1">
                  <c:v>3.4950000000000001</c:v>
                </c:pt>
                <c:pt idx="2">
                  <c:v>4.0030000000000001</c:v>
                </c:pt>
                <c:pt idx="3">
                  <c:v>4.548</c:v>
                </c:pt>
                <c:pt idx="4">
                  <c:v>5.0739999999999998</c:v>
                </c:pt>
                <c:pt idx="5">
                  <c:v>5.6870000000000003</c:v>
                </c:pt>
                <c:pt idx="6">
                  <c:v>6.3129999999999997</c:v>
                </c:pt>
                <c:pt idx="7">
                  <c:v>7.0049999999999999</c:v>
                </c:pt>
                <c:pt idx="8">
                  <c:v>7.6420000000000003</c:v>
                </c:pt>
                <c:pt idx="9">
                  <c:v>8.2740000000000009</c:v>
                </c:pt>
                <c:pt idx="10">
                  <c:v>8.7560000000000002</c:v>
                </c:pt>
                <c:pt idx="11">
                  <c:v>9.0560000000000009</c:v>
                </c:pt>
              </c:numCache>
            </c:numRef>
          </c:yVal>
          <c:smooth val="1"/>
        </c:ser>
        <c:ser>
          <c:idx val="3"/>
          <c:order val="2"/>
          <c:tx>
            <c:v>8%</c:v>
          </c:tx>
          <c:spPr>
            <a:ln w="12700">
              <a:solidFill>
                <a:srgbClr val="0070C0"/>
              </a:solidFill>
            </a:ln>
          </c:spPr>
          <c:marker>
            <c:symbol val="circle"/>
            <c:size val="7"/>
            <c:spPr>
              <a:noFill/>
              <a:ln>
                <a:solidFill>
                  <a:srgbClr val="0070C0"/>
                </a:solidFill>
              </a:ln>
            </c:spPr>
          </c:marker>
          <c:xVal>
            <c:numRef>
              <c:f>Figure2g!$A$3:$A$14</c:f>
              <c:numCache>
                <c:formatCode>General</c:formatCode>
                <c:ptCount val="12"/>
                <c:pt idx="0">
                  <c:v>298.14999999999998</c:v>
                </c:pt>
                <c:pt idx="1">
                  <c:v>303.14999999999998</c:v>
                </c:pt>
                <c:pt idx="2">
                  <c:v>308.14999999999998</c:v>
                </c:pt>
                <c:pt idx="3">
                  <c:v>313.14999999999998</c:v>
                </c:pt>
                <c:pt idx="4">
                  <c:v>318.14999999999998</c:v>
                </c:pt>
                <c:pt idx="5">
                  <c:v>323.14999999999998</c:v>
                </c:pt>
                <c:pt idx="6">
                  <c:v>328.15</c:v>
                </c:pt>
                <c:pt idx="7">
                  <c:v>333.15</c:v>
                </c:pt>
                <c:pt idx="8">
                  <c:v>338.15</c:v>
                </c:pt>
                <c:pt idx="9">
                  <c:v>343.15</c:v>
                </c:pt>
                <c:pt idx="10">
                  <c:v>348.15</c:v>
                </c:pt>
                <c:pt idx="11">
                  <c:v>353.15</c:v>
                </c:pt>
              </c:numCache>
            </c:numRef>
          </c:xVal>
          <c:yVal>
            <c:numRef>
              <c:f>Figure2g!$E$3:$E$14</c:f>
              <c:numCache>
                <c:formatCode>General</c:formatCode>
                <c:ptCount val="12"/>
                <c:pt idx="0">
                  <c:v>1.3860000000000001</c:v>
                </c:pt>
                <c:pt idx="1">
                  <c:v>1.9279999999999999</c:v>
                </c:pt>
                <c:pt idx="2">
                  <c:v>2.5169999999999999</c:v>
                </c:pt>
                <c:pt idx="3">
                  <c:v>3.1510000000000002</c:v>
                </c:pt>
                <c:pt idx="4">
                  <c:v>3.7960000000000003</c:v>
                </c:pt>
                <c:pt idx="5">
                  <c:v>4.5209999999999999</c:v>
                </c:pt>
                <c:pt idx="6">
                  <c:v>5.3310000000000004</c:v>
                </c:pt>
                <c:pt idx="7">
                  <c:v>6.2</c:v>
                </c:pt>
                <c:pt idx="8">
                  <c:v>7.1080000000000005</c:v>
                </c:pt>
                <c:pt idx="9">
                  <c:v>7.9969999999999999</c:v>
                </c:pt>
                <c:pt idx="10">
                  <c:v>8.7720000000000002</c:v>
                </c:pt>
                <c:pt idx="11">
                  <c:v>9.359</c:v>
                </c:pt>
              </c:numCache>
            </c:numRef>
          </c:yVal>
          <c:smooth val="1"/>
        </c:ser>
        <c:ser>
          <c:idx val="5"/>
          <c:order val="3"/>
          <c:tx>
            <c:v>10%</c:v>
          </c:tx>
          <c:spPr>
            <a:ln w="12700">
              <a:solidFill>
                <a:srgbClr val="00B0F0"/>
              </a:solidFill>
            </a:ln>
          </c:spPr>
          <c:marker>
            <c:symbol val="circle"/>
            <c:size val="7"/>
            <c:spPr>
              <a:noFill/>
              <a:ln>
                <a:solidFill>
                  <a:srgbClr val="00B0F0"/>
                </a:solidFill>
              </a:ln>
            </c:spPr>
          </c:marker>
          <c:xVal>
            <c:numRef>
              <c:f>Figure2g!$A$3:$A$14</c:f>
              <c:numCache>
                <c:formatCode>General</c:formatCode>
                <c:ptCount val="12"/>
                <c:pt idx="0">
                  <c:v>298.14999999999998</c:v>
                </c:pt>
                <c:pt idx="1">
                  <c:v>303.14999999999998</c:v>
                </c:pt>
                <c:pt idx="2">
                  <c:v>308.14999999999998</c:v>
                </c:pt>
                <c:pt idx="3">
                  <c:v>313.14999999999998</c:v>
                </c:pt>
                <c:pt idx="4">
                  <c:v>318.14999999999998</c:v>
                </c:pt>
                <c:pt idx="5">
                  <c:v>323.14999999999998</c:v>
                </c:pt>
                <c:pt idx="6">
                  <c:v>328.15</c:v>
                </c:pt>
                <c:pt idx="7">
                  <c:v>333.15</c:v>
                </c:pt>
                <c:pt idx="8">
                  <c:v>338.15</c:v>
                </c:pt>
                <c:pt idx="9">
                  <c:v>343.15</c:v>
                </c:pt>
                <c:pt idx="10">
                  <c:v>348.15</c:v>
                </c:pt>
                <c:pt idx="11">
                  <c:v>353.15</c:v>
                </c:pt>
              </c:numCache>
            </c:numRef>
          </c:xVal>
          <c:yVal>
            <c:numRef>
              <c:f>Figure2g!$F$3:$F$14</c:f>
              <c:numCache>
                <c:formatCode>General</c:formatCode>
                <c:ptCount val="12"/>
                <c:pt idx="0">
                  <c:v>-0.54100000000000004</c:v>
                </c:pt>
                <c:pt idx="1">
                  <c:v>0</c:v>
                </c:pt>
                <c:pt idx="2">
                  <c:v>0.58899999999999997</c:v>
                </c:pt>
                <c:pt idx="3">
                  <c:v>1.2809999999999999</c:v>
                </c:pt>
                <c:pt idx="4">
                  <c:v>1.9850000000000001</c:v>
                </c:pt>
                <c:pt idx="5">
                  <c:v>2.7210000000000001</c:v>
                </c:pt>
                <c:pt idx="6">
                  <c:v>3.593</c:v>
                </c:pt>
                <c:pt idx="7">
                  <c:v>4.5750000000000002</c:v>
                </c:pt>
                <c:pt idx="8">
                  <c:v>5.6080000000000005</c:v>
                </c:pt>
                <c:pt idx="9">
                  <c:v>6.7750000000000004</c:v>
                </c:pt>
                <c:pt idx="10">
                  <c:v>7.6029999999999998</c:v>
                </c:pt>
                <c:pt idx="11">
                  <c:v>8.5299999999999994</c:v>
                </c:pt>
              </c:numCache>
            </c:numRef>
          </c:yVal>
          <c:smooth val="1"/>
        </c:ser>
        <c:ser>
          <c:idx val="7"/>
          <c:order val="4"/>
          <c:tx>
            <c:v>12%</c:v>
          </c:tx>
          <c:spPr>
            <a:ln w="12700">
              <a:solidFill>
                <a:srgbClr val="7030A0"/>
              </a:solidFill>
            </a:ln>
          </c:spPr>
          <c:marker>
            <c:symbol val="circle"/>
            <c:size val="7"/>
            <c:spPr>
              <a:noFill/>
              <a:ln>
                <a:solidFill>
                  <a:srgbClr val="7030A0"/>
                </a:solidFill>
              </a:ln>
            </c:spPr>
          </c:marker>
          <c:xVal>
            <c:numRef>
              <c:f>Figure2g!$A$3:$A$14</c:f>
              <c:numCache>
                <c:formatCode>General</c:formatCode>
                <c:ptCount val="12"/>
                <c:pt idx="0">
                  <c:v>298.14999999999998</c:v>
                </c:pt>
                <c:pt idx="1">
                  <c:v>303.14999999999998</c:v>
                </c:pt>
                <c:pt idx="2">
                  <c:v>308.14999999999998</c:v>
                </c:pt>
                <c:pt idx="3">
                  <c:v>313.14999999999998</c:v>
                </c:pt>
                <c:pt idx="4">
                  <c:v>318.14999999999998</c:v>
                </c:pt>
                <c:pt idx="5">
                  <c:v>323.14999999999998</c:v>
                </c:pt>
                <c:pt idx="6">
                  <c:v>328.15</c:v>
                </c:pt>
                <c:pt idx="7">
                  <c:v>333.15</c:v>
                </c:pt>
                <c:pt idx="8">
                  <c:v>338.15</c:v>
                </c:pt>
                <c:pt idx="9">
                  <c:v>343.15</c:v>
                </c:pt>
                <c:pt idx="10">
                  <c:v>348.15</c:v>
                </c:pt>
                <c:pt idx="11">
                  <c:v>353.15</c:v>
                </c:pt>
              </c:numCache>
            </c:numRef>
          </c:xVal>
          <c:yVal>
            <c:numRef>
              <c:f>Figure2g!$G$3:$G$14</c:f>
              <c:numCache>
                <c:formatCode>General</c:formatCode>
                <c:ptCount val="12"/>
                <c:pt idx="0">
                  <c:v>-2.0260000000000002</c:v>
                </c:pt>
                <c:pt idx="1">
                  <c:v>-1.444</c:v>
                </c:pt>
                <c:pt idx="2">
                  <c:v>-0.73799999999999999</c:v>
                </c:pt>
                <c:pt idx="3">
                  <c:v>0</c:v>
                </c:pt>
                <c:pt idx="4">
                  <c:v>0.67600000000000005</c:v>
                </c:pt>
                <c:pt idx="5">
                  <c:v>1.488</c:v>
                </c:pt>
                <c:pt idx="6">
                  <c:v>2.4090000000000003</c:v>
                </c:pt>
                <c:pt idx="7">
                  <c:v>3.5380000000000003</c:v>
                </c:pt>
                <c:pt idx="8">
                  <c:v>4.6340000000000003</c:v>
                </c:pt>
                <c:pt idx="9">
                  <c:v>5.7679999999999998</c:v>
                </c:pt>
                <c:pt idx="10">
                  <c:v>6.8070000000000004</c:v>
                </c:pt>
                <c:pt idx="11">
                  <c:v>7.8840000000000003</c:v>
                </c:pt>
              </c:numCache>
            </c:numRef>
          </c:yVal>
          <c:smooth val="1"/>
        </c:ser>
        <c:ser>
          <c:idx val="9"/>
          <c:order val="5"/>
          <c:tx>
            <c:v>14%</c:v>
          </c:tx>
          <c:spPr>
            <a:ln w="12700"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circle"/>
            <c:size val="7"/>
            <c:spPr>
              <a:noFill/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xVal>
            <c:numRef>
              <c:f>Figure2g!$A$3:$A$14</c:f>
              <c:numCache>
                <c:formatCode>General</c:formatCode>
                <c:ptCount val="12"/>
                <c:pt idx="0">
                  <c:v>298.14999999999998</c:v>
                </c:pt>
                <c:pt idx="1">
                  <c:v>303.14999999999998</c:v>
                </c:pt>
                <c:pt idx="2">
                  <c:v>308.14999999999998</c:v>
                </c:pt>
                <c:pt idx="3">
                  <c:v>313.14999999999998</c:v>
                </c:pt>
                <c:pt idx="4">
                  <c:v>318.14999999999998</c:v>
                </c:pt>
                <c:pt idx="5">
                  <c:v>323.14999999999998</c:v>
                </c:pt>
                <c:pt idx="6">
                  <c:v>328.15</c:v>
                </c:pt>
                <c:pt idx="7">
                  <c:v>333.15</c:v>
                </c:pt>
                <c:pt idx="8">
                  <c:v>338.15</c:v>
                </c:pt>
                <c:pt idx="9">
                  <c:v>343.15</c:v>
                </c:pt>
                <c:pt idx="10">
                  <c:v>348.15</c:v>
                </c:pt>
                <c:pt idx="11">
                  <c:v>353.15</c:v>
                </c:pt>
              </c:numCache>
            </c:numRef>
          </c:xVal>
          <c:yVal>
            <c:numRef>
              <c:f>Figure2g!$H$3:$H$14</c:f>
              <c:numCache>
                <c:formatCode>General</c:formatCode>
                <c:ptCount val="12"/>
                <c:pt idx="0">
                  <c:v>-2.7760000000000002</c:v>
                </c:pt>
                <c:pt idx="1">
                  <c:v>-2.1930000000000001</c:v>
                </c:pt>
                <c:pt idx="2">
                  <c:v>-1.5580000000000001</c:v>
                </c:pt>
                <c:pt idx="3">
                  <c:v>-0.876</c:v>
                </c:pt>
                <c:pt idx="4">
                  <c:v>-0.10200000000000001</c:v>
                </c:pt>
                <c:pt idx="5">
                  <c:v>0.70399999999999996</c:v>
                </c:pt>
                <c:pt idx="6">
                  <c:v>1.619</c:v>
                </c:pt>
                <c:pt idx="7">
                  <c:v>2.6850000000000001</c:v>
                </c:pt>
                <c:pt idx="8">
                  <c:v>3.9290000000000003</c:v>
                </c:pt>
                <c:pt idx="9">
                  <c:v>5.1139999999999999</c:v>
                </c:pt>
                <c:pt idx="10">
                  <c:v>6.2789999999999999</c:v>
                </c:pt>
                <c:pt idx="11">
                  <c:v>7.3650000000000002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7091968"/>
        <c:axId val="267094272"/>
      </c:scatterChart>
      <c:valAx>
        <c:axId val="267091968"/>
        <c:scaling>
          <c:orientation val="minMax"/>
          <c:max val="360"/>
          <c:min val="292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Temperature (K)</a:t>
                </a:r>
              </a:p>
            </c:rich>
          </c:tx>
          <c:layout>
            <c:manualLayout>
              <c:xMode val="edge"/>
              <c:yMode val="edge"/>
              <c:x val="0.42331209458487384"/>
              <c:y val="0.90026760878454581"/>
            </c:manualLayout>
          </c:layout>
          <c:overlay val="0"/>
        </c:title>
        <c:numFmt formatCode="General" sourceLinked="1"/>
        <c:majorTickMark val="out"/>
        <c:minorTickMark val="out"/>
        <c:tickLblPos val="nextTo"/>
        <c:spPr>
          <a:ln w="12700">
            <a:solidFill>
              <a:schemeClr val="tx1"/>
            </a:solidFill>
          </a:ln>
        </c:spPr>
        <c:crossAx val="267094272"/>
        <c:crossesAt val="-4"/>
        <c:crossBetween val="midCat"/>
      </c:valAx>
      <c:valAx>
        <c:axId val="267094272"/>
        <c:scaling>
          <c:orientation val="minMax"/>
          <c:max val="10"/>
          <c:min val="-4"/>
        </c:scaling>
        <c:delete val="0"/>
        <c:axPos val="l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 baseline="30000"/>
                  <a:t>23</a:t>
                </a:r>
                <a:r>
                  <a:rPr lang="en-US" b="0"/>
                  <a:t>Na Splitting (</a:t>
                </a:r>
                <a:r>
                  <a:rPr lang="en-US" altLang="zh-CN" b="0"/>
                  <a:t>k</a:t>
                </a:r>
                <a:r>
                  <a:rPr lang="en-US" b="0"/>
                  <a:t>Hz)</a:t>
                </a:r>
              </a:p>
            </c:rich>
          </c:tx>
          <c:layout>
            <c:manualLayout>
              <c:xMode val="edge"/>
              <c:yMode val="edge"/>
              <c:x val="5.2247967058259306E-2"/>
              <c:y val="0.24452944490761291"/>
            </c:manualLayout>
          </c:layout>
          <c:overlay val="0"/>
        </c:title>
        <c:numFmt formatCode="General" sourceLinked="1"/>
        <c:majorTickMark val="out"/>
        <c:minorTickMark val="out"/>
        <c:tickLblPos val="nextTo"/>
        <c:spPr>
          <a:ln w="12700">
            <a:solidFill>
              <a:schemeClr val="tx1"/>
            </a:solidFill>
          </a:ln>
        </c:spPr>
        <c:crossAx val="267091968"/>
        <c:crosses val="autoZero"/>
        <c:crossBetween val="midCat"/>
        <c:majorUnit val="2"/>
        <c:minorUnit val="1"/>
      </c:valAx>
      <c:spPr>
        <a:ln w="127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60281252914451688"/>
          <c:y val="0.49906386726862723"/>
          <c:w val="0.2971661537231704"/>
          <c:h val="0.30156718444924036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600" baseline="0">
          <a:latin typeface="Calibri" panose="020F050202020403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47801837270341"/>
          <c:y val="5.6030183727034118E-2"/>
          <c:w val="0.7216784776902887"/>
          <c:h val="0.72518883056284633"/>
        </c:manualLayout>
      </c:layout>
      <c:barChart>
        <c:barDir val="col"/>
        <c:grouping val="clustered"/>
        <c:varyColors val="0"/>
        <c:ser>
          <c:idx val="1"/>
          <c:order val="0"/>
          <c:tx>
            <c:v>T1 of central peak</c:v>
          </c:tx>
          <c:spPr>
            <a:solidFill>
              <a:srgbClr val="FFC000"/>
            </a:solidFill>
            <a:ln w="28575">
              <a:noFill/>
            </a:ln>
          </c:spPr>
          <c:invertIfNegative val="0"/>
          <c:errBars>
            <c:errBarType val="both"/>
            <c:errValType val="percentage"/>
            <c:noEndCap val="0"/>
            <c:val val="2"/>
          </c:errBars>
          <c:cat>
            <c:numRef>
              <c:f>'Supplementary Figure3'!$F$4:$F$17</c:f>
              <c:numCache>
                <c:formatCode>General</c:formatCode>
                <c:ptCount val="1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7.0000000000000009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14.000000000000002</c:v>
                </c:pt>
                <c:pt idx="13">
                  <c:v>15</c:v>
                </c:pt>
              </c:numCache>
            </c:numRef>
          </c:cat>
          <c:val>
            <c:numRef>
              <c:f>'Supplementary Figure3'!$C$4:$C$17</c:f>
              <c:numCache>
                <c:formatCode>General</c:formatCode>
                <c:ptCount val="14"/>
                <c:pt idx="0">
                  <c:v>24.667000000000002</c:v>
                </c:pt>
                <c:pt idx="1">
                  <c:v>22.959666666666664</c:v>
                </c:pt>
                <c:pt idx="2">
                  <c:v>20.446666666666669</c:v>
                </c:pt>
                <c:pt idx="3">
                  <c:v>19.186666666666667</c:v>
                </c:pt>
                <c:pt idx="4">
                  <c:v>17.725333333333335</c:v>
                </c:pt>
                <c:pt idx="5">
                  <c:v>16.968999999999998</c:v>
                </c:pt>
                <c:pt idx="6">
                  <c:v>16.640333333333334</c:v>
                </c:pt>
                <c:pt idx="7">
                  <c:v>15.906333333333331</c:v>
                </c:pt>
                <c:pt idx="8">
                  <c:v>15.231666666666667</c:v>
                </c:pt>
                <c:pt idx="9">
                  <c:v>15.041666666666666</c:v>
                </c:pt>
                <c:pt idx="10">
                  <c:v>14.709999999999999</c:v>
                </c:pt>
                <c:pt idx="11">
                  <c:v>14.912333333333335</c:v>
                </c:pt>
                <c:pt idx="12">
                  <c:v>14.952</c:v>
                </c:pt>
                <c:pt idx="13">
                  <c:v>14.167000000000002</c:v>
                </c:pt>
              </c:numCache>
            </c:numRef>
          </c:val>
        </c:ser>
        <c:ser>
          <c:idx val="2"/>
          <c:order val="1"/>
          <c:tx>
            <c:v>T2 of central peak</c:v>
          </c:tx>
          <c:spPr>
            <a:solidFill>
              <a:srgbClr val="7030A0"/>
            </a:solidFill>
            <a:ln w="28575">
              <a:noFill/>
            </a:ln>
          </c:spPr>
          <c:invertIfNegative val="0"/>
          <c:errBars>
            <c:errBarType val="both"/>
            <c:errValType val="percentage"/>
            <c:noEndCap val="0"/>
            <c:val val="2"/>
          </c:errBars>
          <c:cat>
            <c:numRef>
              <c:f>'Supplementary Figure3'!$F$4:$F$17</c:f>
              <c:numCache>
                <c:formatCode>General</c:formatCode>
                <c:ptCount val="1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7.0000000000000009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14.000000000000002</c:v>
                </c:pt>
                <c:pt idx="13">
                  <c:v>15</c:v>
                </c:pt>
              </c:numCache>
            </c:numRef>
          </c:cat>
          <c:val>
            <c:numRef>
              <c:f>'Supplementary Figure3'!$E$4:$E$17</c:f>
              <c:numCache>
                <c:formatCode>General</c:formatCode>
                <c:ptCount val="14"/>
                <c:pt idx="0">
                  <c:v>24.956666666666667</c:v>
                </c:pt>
                <c:pt idx="1">
                  <c:v>23.506666666666671</c:v>
                </c:pt>
                <c:pt idx="2">
                  <c:v>20.563333333333333</c:v>
                </c:pt>
                <c:pt idx="3">
                  <c:v>19.73</c:v>
                </c:pt>
                <c:pt idx="4">
                  <c:v>17.466666666666669</c:v>
                </c:pt>
                <c:pt idx="5">
                  <c:v>17.706666666666667</c:v>
                </c:pt>
                <c:pt idx="6">
                  <c:v>16.556666666666668</c:v>
                </c:pt>
                <c:pt idx="7">
                  <c:v>15.466666666666669</c:v>
                </c:pt>
                <c:pt idx="8">
                  <c:v>15.160000000000002</c:v>
                </c:pt>
                <c:pt idx="9">
                  <c:v>14.75</c:v>
                </c:pt>
                <c:pt idx="10">
                  <c:v>14.589999999999998</c:v>
                </c:pt>
                <c:pt idx="11">
                  <c:v>15.38</c:v>
                </c:pt>
                <c:pt idx="12">
                  <c:v>14.486666666666666</c:v>
                </c:pt>
                <c:pt idx="13">
                  <c:v>14.373333333333335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7178368"/>
        <c:axId val="267180288"/>
      </c:barChart>
      <c:catAx>
        <c:axId val="267178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Polymer weight percentage</a:t>
                </a:r>
              </a:p>
            </c:rich>
          </c:tx>
          <c:overlay val="0"/>
        </c:title>
        <c:numFmt formatCode="General" sourceLinked="1"/>
        <c:majorTickMark val="out"/>
        <c:minorTickMark val="out"/>
        <c:tickLblPos val="nextTo"/>
        <c:spPr>
          <a:ln w="12700">
            <a:solidFill>
              <a:schemeClr val="tx1"/>
            </a:solidFill>
          </a:ln>
        </c:spPr>
        <c:crossAx val="267180288"/>
        <c:crosses val="autoZero"/>
        <c:auto val="1"/>
        <c:lblAlgn val="ctr"/>
        <c:lblOffset val="100"/>
        <c:tickMarkSkip val="1"/>
        <c:noMultiLvlLbl val="0"/>
      </c:catAx>
      <c:valAx>
        <c:axId val="267180288"/>
        <c:scaling>
          <c:orientation val="minMax"/>
          <c:min val="12"/>
        </c:scaling>
        <c:delete val="0"/>
        <c:axPos val="l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Relaxation time (ms)</a:t>
                </a:r>
              </a:p>
            </c:rich>
          </c:tx>
          <c:layout>
            <c:manualLayout>
              <c:xMode val="edge"/>
              <c:yMode val="edge"/>
              <c:x val="1.8195538057742765E-3"/>
              <c:y val="5.1400554097404488E-2"/>
            </c:manualLayout>
          </c:layout>
          <c:overlay val="0"/>
        </c:title>
        <c:numFmt formatCode="General" sourceLinked="1"/>
        <c:majorTickMark val="out"/>
        <c:minorTickMark val="out"/>
        <c:tickLblPos val="nextTo"/>
        <c:spPr>
          <a:ln w="12700">
            <a:solidFill>
              <a:schemeClr val="tx1"/>
            </a:solidFill>
          </a:ln>
        </c:spPr>
        <c:crossAx val="267178368"/>
        <c:crossesAt val="1"/>
        <c:crossBetween val="between"/>
        <c:majorUnit val="4"/>
        <c:minorUnit val="2"/>
      </c:valAx>
    </c:plotArea>
    <c:legend>
      <c:legendPos val="r"/>
      <c:layout>
        <c:manualLayout>
          <c:xMode val="edge"/>
          <c:yMode val="edge"/>
          <c:x val="0.49880577427821521"/>
          <c:y val="7.3498104403616218E-2"/>
          <c:w val="0.46230533683289587"/>
          <c:h val="0.20948490813648293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6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17</xdr:row>
      <xdr:rowOff>9525</xdr:rowOff>
    </xdr:from>
    <xdr:to>
      <xdr:col>6</xdr:col>
      <xdr:colOff>0</xdr:colOff>
      <xdr:row>31</xdr:row>
      <xdr:rowOff>85725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14</xdr:row>
      <xdr:rowOff>76200</xdr:rowOff>
    </xdr:from>
    <xdr:to>
      <xdr:col>8</xdr:col>
      <xdr:colOff>419100</xdr:colOff>
      <xdr:row>33</xdr:row>
      <xdr:rowOff>171451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419100</xdr:colOff>
      <xdr:row>3</xdr:row>
      <xdr:rowOff>0</xdr:rowOff>
    </xdr:from>
    <xdr:to>
      <xdr:col>15</xdr:col>
      <xdr:colOff>114300</xdr:colOff>
      <xdr:row>16</xdr:row>
      <xdr:rowOff>147637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topLeftCell="A14" workbookViewId="0">
      <selection activeCell="A43" sqref="A36:F43"/>
    </sheetView>
  </sheetViews>
  <sheetFormatPr defaultRowHeight="15" x14ac:dyDescent="0.25"/>
  <cols>
    <col min="1" max="2" width="15.28515625" customWidth="1"/>
    <col min="3" max="3" width="12.42578125" customWidth="1"/>
    <col min="5" max="5" width="15.7109375" customWidth="1"/>
  </cols>
  <sheetData>
    <row r="1" spans="1:12" x14ac:dyDescent="0.25">
      <c r="A1" t="s">
        <v>2</v>
      </c>
      <c r="B1" t="s">
        <v>3</v>
      </c>
      <c r="C1" t="s">
        <v>4</v>
      </c>
      <c r="D1" t="s">
        <v>5</v>
      </c>
      <c r="E1" t="s">
        <v>7</v>
      </c>
      <c r="F1" t="s">
        <v>6</v>
      </c>
      <c r="G1" t="s">
        <v>2</v>
      </c>
      <c r="H1" t="s">
        <v>8</v>
      </c>
      <c r="I1" t="s">
        <v>10</v>
      </c>
      <c r="J1" s="2" t="s">
        <v>4</v>
      </c>
      <c r="L1" t="s">
        <v>9</v>
      </c>
    </row>
    <row r="2" spans="1:12" x14ac:dyDescent="0.25">
      <c r="A2" s="4">
        <v>1.9758064516129031E-2</v>
      </c>
      <c r="B2">
        <v>-5.181</v>
      </c>
      <c r="C2">
        <f>A2^-0.5 +0.96</f>
        <v>8.0742283417078475</v>
      </c>
      <c r="D2">
        <f>COS(ATAN(C2/3.36))^2</f>
        <v>0.14760972944511555</v>
      </c>
      <c r="E2">
        <f>(3*D2-1)</f>
        <v>-0.55717081166465332</v>
      </c>
      <c r="F2">
        <f>ATAN(C2/3.36)/3.1415926*180</f>
        <v>67.40590966280422</v>
      </c>
      <c r="G2">
        <f t="shared" ref="G2:G16" si="0">A2*100</f>
        <v>1.975806451612903</v>
      </c>
      <c r="H2">
        <f t="shared" ref="H2:H16" si="1">E2/2</f>
        <v>-0.27858540583232666</v>
      </c>
      <c r="I2">
        <f>(3*K2-1)/2</f>
        <v>-0.3122016737228116</v>
      </c>
      <c r="J2">
        <f t="shared" ref="J2:J16" si="2">C2+0.1*C2</f>
        <v>8.8816511758786323</v>
      </c>
      <c r="K2">
        <f>COS(ATAN(J2/3.36))^2</f>
        <v>0.12519888418479225</v>
      </c>
      <c r="L2">
        <f t="shared" ref="L2:L16" si="3">H2-I2</f>
        <v>3.3616267890484941E-2</v>
      </c>
    </row>
    <row r="3" spans="1:12" x14ac:dyDescent="0.25">
      <c r="A3" s="4">
        <v>3.0065897858319608E-2</v>
      </c>
      <c r="B3">
        <v>-5.2140000000000004</v>
      </c>
      <c r="C3" s="2">
        <f t="shared" ref="C3:C16" si="4">A3^-0.5 +0.96</f>
        <v>6.7271720949355007</v>
      </c>
      <c r="D3">
        <f t="shared" ref="D3:D16" si="5">COS(ATAN(C3/3.36))^2</f>
        <v>0.19965887225204515</v>
      </c>
      <c r="E3">
        <f t="shared" ref="E3:E16" si="6">(3*D3-1)</f>
        <v>-0.40102338324386455</v>
      </c>
      <c r="F3">
        <f t="shared" ref="F3:F16" si="7">ATAN(C3/3.36)/3.1415926*180</f>
        <v>63.45938920204383</v>
      </c>
      <c r="G3">
        <f t="shared" si="0"/>
        <v>3.0065897858319608</v>
      </c>
      <c r="H3" s="2">
        <f t="shared" si="1"/>
        <v>-0.20051169162193228</v>
      </c>
      <c r="I3" s="2">
        <f t="shared" ref="I3:I16" si="8">(3*K3-1)/2</f>
        <v>-0.24360450255294891</v>
      </c>
      <c r="J3" s="2">
        <f t="shared" si="2"/>
        <v>7.3998893044290508</v>
      </c>
      <c r="K3" s="2">
        <f t="shared" ref="K3:K16" si="9">COS(ATAN(J3/3.36))^2</f>
        <v>0.17093033163136739</v>
      </c>
      <c r="L3" s="2">
        <f t="shared" si="3"/>
        <v>4.3092810931016634E-2</v>
      </c>
    </row>
    <row r="4" spans="1:12" x14ac:dyDescent="0.25">
      <c r="A4" s="4">
        <v>3.6644165863066541E-2</v>
      </c>
      <c r="B4">
        <v>-4.923</v>
      </c>
      <c r="C4" s="2">
        <f t="shared" si="4"/>
        <v>6.1839327794498393</v>
      </c>
      <c r="D4">
        <f t="shared" si="5"/>
        <v>0.22793171066268875</v>
      </c>
      <c r="E4">
        <f t="shared" si="6"/>
        <v>-0.31620486801193382</v>
      </c>
      <c r="F4">
        <f t="shared" si="7"/>
        <v>61.482841133829339</v>
      </c>
      <c r="G4">
        <f t="shared" si="0"/>
        <v>3.664416586306654</v>
      </c>
      <c r="H4" s="2">
        <f t="shared" si="1"/>
        <v>-0.15810243400596691</v>
      </c>
      <c r="I4" s="2">
        <f t="shared" si="8"/>
        <v>-0.20580202821457205</v>
      </c>
      <c r="J4" s="2">
        <f t="shared" si="2"/>
        <v>6.802326057394823</v>
      </c>
      <c r="K4" s="2">
        <f t="shared" si="9"/>
        <v>0.1961319811902853</v>
      </c>
      <c r="L4" s="2">
        <f t="shared" si="3"/>
        <v>4.7699594208605145E-2</v>
      </c>
    </row>
    <row r="5" spans="1:12" x14ac:dyDescent="0.25">
      <c r="A5" s="4">
        <v>5.1914725621792335E-2</v>
      </c>
      <c r="B5">
        <v>-3.609</v>
      </c>
      <c r="C5" s="2">
        <f t="shared" si="4"/>
        <v>5.3488902258371276</v>
      </c>
      <c r="D5">
        <f t="shared" si="5"/>
        <v>0.28294576117527037</v>
      </c>
      <c r="E5">
        <f t="shared" si="6"/>
        <v>-0.15116271647418889</v>
      </c>
      <c r="F5">
        <f t="shared" si="7"/>
        <v>57.86429023041525</v>
      </c>
      <c r="G5">
        <f t="shared" si="0"/>
        <v>5.1914725621792339</v>
      </c>
      <c r="H5" s="2">
        <f t="shared" si="1"/>
        <v>-7.5581358237094443E-2</v>
      </c>
      <c r="I5" s="2">
        <f t="shared" si="8"/>
        <v>-0.13112679781271558</v>
      </c>
      <c r="J5" s="2">
        <f t="shared" si="2"/>
        <v>5.88377924842084</v>
      </c>
      <c r="K5" s="2">
        <f t="shared" si="9"/>
        <v>0.24591546812485629</v>
      </c>
      <c r="L5" s="2">
        <f t="shared" si="3"/>
        <v>5.5545439575621136E-2</v>
      </c>
    </row>
    <row r="6" spans="1:12" x14ac:dyDescent="0.25">
      <c r="A6" s="4">
        <v>5.8623449379751905E-2</v>
      </c>
      <c r="B6">
        <v>-3.0419999999999998</v>
      </c>
      <c r="C6" s="2">
        <f t="shared" si="4"/>
        <v>5.0901356488395999</v>
      </c>
      <c r="D6">
        <f t="shared" si="5"/>
        <v>0.30349136913329822</v>
      </c>
      <c r="E6">
        <f t="shared" si="6"/>
        <v>-8.952589260010535E-2</v>
      </c>
      <c r="F6">
        <f t="shared" si="7"/>
        <v>56.571187464975409</v>
      </c>
      <c r="G6">
        <f t="shared" si="0"/>
        <v>5.8623449379751902</v>
      </c>
      <c r="H6" s="2">
        <f t="shared" si="1"/>
        <v>-4.4762946300052675E-2</v>
      </c>
      <c r="I6" s="2">
        <f t="shared" si="8"/>
        <v>-0.10285245220157391</v>
      </c>
      <c r="J6" s="2">
        <f t="shared" si="2"/>
        <v>5.5991492137235603</v>
      </c>
      <c r="K6" s="2">
        <f t="shared" si="9"/>
        <v>0.2647650318656174</v>
      </c>
      <c r="L6" s="2">
        <f t="shared" si="3"/>
        <v>5.8089505901521232E-2</v>
      </c>
    </row>
    <row r="7" spans="1:12" x14ac:dyDescent="0.25">
      <c r="A7" s="4">
        <v>6.9293209265491984E-2</v>
      </c>
      <c r="B7">
        <v>-1.849</v>
      </c>
      <c r="C7" s="2">
        <f t="shared" si="4"/>
        <v>4.7588720130360498</v>
      </c>
      <c r="D7">
        <f t="shared" si="5"/>
        <v>0.33266873022110116</v>
      </c>
      <c r="E7">
        <f t="shared" si="6"/>
        <v>-1.9938093366964615E-3</v>
      </c>
      <c r="F7">
        <f t="shared" si="7"/>
        <v>54.776010165227255</v>
      </c>
      <c r="G7">
        <f t="shared" si="0"/>
        <v>6.9293209265491988</v>
      </c>
      <c r="H7" s="2">
        <f t="shared" si="1"/>
        <v>-9.9690466834823077E-4</v>
      </c>
      <c r="I7" s="2">
        <f t="shared" si="8"/>
        <v>-6.2331568935653281E-2</v>
      </c>
      <c r="J7" s="2">
        <f t="shared" si="2"/>
        <v>5.2347592143396549</v>
      </c>
      <c r="K7" s="2">
        <f t="shared" si="9"/>
        <v>0.29177895404289783</v>
      </c>
      <c r="L7" s="2">
        <f t="shared" si="3"/>
        <v>6.133466426730505E-2</v>
      </c>
    </row>
    <row r="8" spans="1:12" x14ac:dyDescent="0.25">
      <c r="A8" s="4">
        <v>7.4225599064874345E-2</v>
      </c>
      <c r="B8">
        <v>-1.3859999999999999</v>
      </c>
      <c r="C8" s="2">
        <f t="shared" si="4"/>
        <v>4.6304823858563733</v>
      </c>
      <c r="D8">
        <f t="shared" si="5"/>
        <v>0.34492106379363646</v>
      </c>
      <c r="E8">
        <f t="shared" si="6"/>
        <v>3.4763191380909442E-2</v>
      </c>
      <c r="F8">
        <f t="shared" si="7"/>
        <v>54.034373356594301</v>
      </c>
      <c r="G8">
        <f t="shared" si="0"/>
        <v>7.4225599064874341</v>
      </c>
      <c r="H8" s="2">
        <f t="shared" si="1"/>
        <v>1.7381595690454721E-2</v>
      </c>
      <c r="I8" s="2">
        <f t="shared" si="8"/>
        <v>-4.5185656530709495E-2</v>
      </c>
      <c r="J8" s="2">
        <f t="shared" si="2"/>
        <v>5.0935306244420104</v>
      </c>
      <c r="K8" s="2">
        <f t="shared" si="9"/>
        <v>0.30320956231286034</v>
      </c>
      <c r="L8" s="2">
        <f t="shared" si="3"/>
        <v>6.2567252221164216E-2</v>
      </c>
    </row>
    <row r="9" spans="1:12" x14ac:dyDescent="0.25">
      <c r="A9" s="4">
        <v>8.734580183048149E-2</v>
      </c>
      <c r="B9">
        <v>-0.53200000000000003</v>
      </c>
      <c r="C9" s="2">
        <f t="shared" si="4"/>
        <v>4.3435997329204863</v>
      </c>
      <c r="D9">
        <f t="shared" si="5"/>
        <v>0.37436756533109933</v>
      </c>
      <c r="E9">
        <f t="shared" si="6"/>
        <v>0.12310269599329793</v>
      </c>
      <c r="F9">
        <f t="shared" si="7"/>
        <v>52.276187520934883</v>
      </c>
      <c r="G9">
        <f t="shared" si="0"/>
        <v>8.7345801830481484</v>
      </c>
      <c r="H9" s="2">
        <f t="shared" si="1"/>
        <v>6.1551347996648964E-2</v>
      </c>
      <c r="I9" s="2">
        <f t="shared" si="8"/>
        <v>-3.6592898551287001E-3</v>
      </c>
      <c r="J9" s="2">
        <f t="shared" si="2"/>
        <v>4.7779597062125347</v>
      </c>
      <c r="K9" s="2">
        <f t="shared" si="9"/>
        <v>0.33089380676324753</v>
      </c>
      <c r="L9" s="2">
        <f t="shared" si="3"/>
        <v>6.5210637851777664E-2</v>
      </c>
    </row>
    <row r="10" spans="1:12" x14ac:dyDescent="0.25">
      <c r="A10" s="4">
        <v>0.10193679918450561</v>
      </c>
      <c r="B10">
        <v>0.54100000000000004</v>
      </c>
      <c r="C10" s="2">
        <f t="shared" si="4"/>
        <v>4.0920919526731652</v>
      </c>
      <c r="D10">
        <f t="shared" si="5"/>
        <v>0.40269926433134967</v>
      </c>
      <c r="E10">
        <f t="shared" si="6"/>
        <v>0.20809779299404907</v>
      </c>
      <c r="F10">
        <f t="shared" si="7"/>
        <v>50.610722664974453</v>
      </c>
      <c r="G10">
        <f t="shared" si="0"/>
        <v>10.193679918450561</v>
      </c>
      <c r="H10" s="2">
        <f t="shared" si="1"/>
        <v>0.10404889649702453</v>
      </c>
      <c r="I10" s="2">
        <f t="shared" si="8"/>
        <v>3.6725698978124721E-2</v>
      </c>
      <c r="J10" s="2">
        <f t="shared" si="2"/>
        <v>4.5013011479404819</v>
      </c>
      <c r="K10" s="2">
        <f t="shared" si="9"/>
        <v>0.35781713265208315</v>
      </c>
      <c r="L10" s="2">
        <f t="shared" si="3"/>
        <v>6.7323197518899813E-2</v>
      </c>
    </row>
    <row r="11" spans="1:12" x14ac:dyDescent="0.25">
      <c r="A11" s="4">
        <v>0.10781563126252505</v>
      </c>
      <c r="B11">
        <v>0.90200000000000002</v>
      </c>
      <c r="C11" s="2">
        <f t="shared" si="4"/>
        <v>4.0055037246411267</v>
      </c>
      <c r="D11">
        <f t="shared" si="5"/>
        <v>0.41302920880724975</v>
      </c>
      <c r="E11">
        <f t="shared" si="6"/>
        <v>0.23908762642174919</v>
      </c>
      <c r="F11">
        <f t="shared" si="7"/>
        <v>50.008536170656654</v>
      </c>
      <c r="G11">
        <f t="shared" si="0"/>
        <v>10.781563126252506</v>
      </c>
      <c r="H11" s="2">
        <f t="shared" si="1"/>
        <v>0.11954381321087459</v>
      </c>
      <c r="I11" s="2">
        <f t="shared" si="8"/>
        <v>5.1556790778024997E-2</v>
      </c>
      <c r="J11" s="2">
        <f t="shared" si="2"/>
        <v>4.4060540971052395</v>
      </c>
      <c r="K11" s="2">
        <f t="shared" si="9"/>
        <v>0.36770452718535002</v>
      </c>
      <c r="L11" s="2">
        <f t="shared" si="3"/>
        <v>6.7987022432849598E-2</v>
      </c>
    </row>
    <row r="12" spans="1:12" x14ac:dyDescent="0.25">
      <c r="A12" s="4">
        <v>0.12734556188066626</v>
      </c>
      <c r="B12">
        <v>2.0259999999999998</v>
      </c>
      <c r="C12" s="2">
        <f t="shared" si="4"/>
        <v>3.7622578408530711</v>
      </c>
      <c r="D12">
        <f t="shared" si="5"/>
        <v>0.44370061043841919</v>
      </c>
      <c r="E12">
        <f t="shared" si="6"/>
        <v>0.33110183131525761</v>
      </c>
      <c r="F12">
        <f t="shared" si="7"/>
        <v>48.232573620105136</v>
      </c>
      <c r="G12">
        <f t="shared" si="0"/>
        <v>12.734556188066627</v>
      </c>
      <c r="H12" s="2">
        <f t="shared" si="1"/>
        <v>0.16555091565762881</v>
      </c>
      <c r="I12" s="2">
        <f t="shared" si="8"/>
        <v>9.5932383243748864E-2</v>
      </c>
      <c r="J12" s="2">
        <f t="shared" si="2"/>
        <v>4.1384836249383783</v>
      </c>
      <c r="K12" s="2">
        <f t="shared" si="9"/>
        <v>0.39728825549583258</v>
      </c>
      <c r="L12" s="2">
        <f t="shared" si="3"/>
        <v>6.9618532413879941E-2</v>
      </c>
    </row>
    <row r="13" spans="1:12" x14ac:dyDescent="0.25">
      <c r="A13" s="4">
        <v>0.13169464428457237</v>
      </c>
      <c r="B13">
        <v>2.1709999999999998</v>
      </c>
      <c r="C13" s="2">
        <f t="shared" si="4"/>
        <v>3.7155985224621246</v>
      </c>
      <c r="D13">
        <f t="shared" si="5"/>
        <v>0.44986959412093025</v>
      </c>
      <c r="E13">
        <f t="shared" si="6"/>
        <v>0.34960878236279069</v>
      </c>
      <c r="F13">
        <f t="shared" si="7"/>
        <v>47.877095501904051</v>
      </c>
      <c r="G13">
        <f t="shared" si="0"/>
        <v>13.169464428457237</v>
      </c>
      <c r="H13" s="2">
        <f t="shared" si="1"/>
        <v>0.17480439118139535</v>
      </c>
      <c r="I13" s="2">
        <f t="shared" si="8"/>
        <v>0.10491961032357666</v>
      </c>
      <c r="J13" s="2">
        <f t="shared" si="2"/>
        <v>4.0871583747083369</v>
      </c>
      <c r="K13" s="2">
        <f t="shared" si="9"/>
        <v>0.40327974021571777</v>
      </c>
      <c r="L13" s="2">
        <f t="shared" si="3"/>
        <v>6.9884780857818685E-2</v>
      </c>
    </row>
    <row r="14" spans="1:12" x14ac:dyDescent="0.25">
      <c r="A14" s="4">
        <v>0.14280786478095894</v>
      </c>
      <c r="B14">
        <v>2.7759999999999998</v>
      </c>
      <c r="C14" s="2">
        <f t="shared" si="4"/>
        <v>3.6062077505247387</v>
      </c>
      <c r="D14">
        <f t="shared" si="5"/>
        <v>0.46470093981697058</v>
      </c>
      <c r="E14">
        <f t="shared" si="6"/>
        <v>0.39410281945091175</v>
      </c>
      <c r="F14">
        <f t="shared" si="7"/>
        <v>47.024171795267016</v>
      </c>
      <c r="G14">
        <f t="shared" si="0"/>
        <v>14.280786478095894</v>
      </c>
      <c r="H14" s="2">
        <f t="shared" si="1"/>
        <v>0.19705140972545587</v>
      </c>
      <c r="I14" s="2">
        <f t="shared" si="8"/>
        <v>0.12661217856552842</v>
      </c>
      <c r="J14" s="2">
        <f t="shared" si="2"/>
        <v>3.9668285255772124</v>
      </c>
      <c r="K14" s="2">
        <f t="shared" si="9"/>
        <v>0.41774145237701893</v>
      </c>
      <c r="L14" s="2">
        <f t="shared" si="3"/>
        <v>7.0439231159927451E-2</v>
      </c>
    </row>
    <row r="15" spans="1:12" x14ac:dyDescent="0.25">
      <c r="A15" s="4">
        <v>0.15423443634324174</v>
      </c>
      <c r="B15">
        <v>3.76</v>
      </c>
      <c r="C15" s="2">
        <f t="shared" si="4"/>
        <v>3.5062985613702811</v>
      </c>
      <c r="D15">
        <f t="shared" si="5"/>
        <v>0.47870291047170083</v>
      </c>
      <c r="E15">
        <f t="shared" si="6"/>
        <v>0.43610873141510242</v>
      </c>
      <c r="F15">
        <f t="shared" si="7"/>
        <v>46.220603406806198</v>
      </c>
      <c r="G15">
        <f t="shared" si="0"/>
        <v>15.423443634324174</v>
      </c>
      <c r="H15" s="2">
        <f t="shared" si="1"/>
        <v>0.21805436570755121</v>
      </c>
      <c r="I15" s="2">
        <f t="shared" si="8"/>
        <v>0.14720345720688444</v>
      </c>
      <c r="J15" s="2">
        <f t="shared" si="2"/>
        <v>3.8569284175073091</v>
      </c>
      <c r="K15" s="2">
        <f t="shared" si="9"/>
        <v>0.43146897147125629</v>
      </c>
      <c r="L15" s="2">
        <f t="shared" si="3"/>
        <v>7.0850908500666776E-2</v>
      </c>
    </row>
    <row r="16" spans="1:12" x14ac:dyDescent="0.25">
      <c r="A16" s="4">
        <v>0.20799999999999999</v>
      </c>
      <c r="B16">
        <v>4.4589999999999996</v>
      </c>
      <c r="C16" s="2">
        <f t="shared" si="4"/>
        <v>3.1526450482675732</v>
      </c>
      <c r="D16">
        <f t="shared" si="5"/>
        <v>0.53180658014383642</v>
      </c>
      <c r="E16">
        <f t="shared" si="6"/>
        <v>0.59541974043150914</v>
      </c>
      <c r="F16">
        <f t="shared" si="7"/>
        <v>43.176386603885199</v>
      </c>
      <c r="G16">
        <f t="shared" si="0"/>
        <v>20.8</v>
      </c>
      <c r="H16" s="2">
        <f t="shared" si="1"/>
        <v>0.29770987021575457</v>
      </c>
      <c r="I16" s="2">
        <f t="shared" si="8"/>
        <v>0.22629964057765961</v>
      </c>
      <c r="J16" s="2">
        <f t="shared" si="2"/>
        <v>3.4679095530943305</v>
      </c>
      <c r="K16" s="2">
        <f t="shared" si="9"/>
        <v>0.48419976038510637</v>
      </c>
      <c r="L16" s="2">
        <f t="shared" si="3"/>
        <v>7.1410229638094957E-2</v>
      </c>
    </row>
    <row r="37" spans="1:3" x14ac:dyDescent="0.25">
      <c r="A37" s="3"/>
      <c r="B37" s="2"/>
      <c r="C37" s="2"/>
    </row>
    <row r="38" spans="1:3" x14ac:dyDescent="0.25">
      <c r="A38" s="3"/>
      <c r="B38" s="2"/>
      <c r="C38" s="2"/>
    </row>
    <row r="39" spans="1:3" x14ac:dyDescent="0.25">
      <c r="A39" s="3"/>
      <c r="B39" s="2"/>
      <c r="C39" s="2"/>
    </row>
    <row r="40" spans="1:3" x14ac:dyDescent="0.25">
      <c r="A40" s="3"/>
      <c r="B40" s="2"/>
      <c r="C40" s="2"/>
    </row>
    <row r="41" spans="1:3" x14ac:dyDescent="0.25">
      <c r="A41" s="3"/>
      <c r="B41" s="2"/>
      <c r="C41" s="2"/>
    </row>
    <row r="42" spans="1:3" x14ac:dyDescent="0.25">
      <c r="A42" s="3"/>
      <c r="B42" s="2"/>
      <c r="C42" s="2"/>
    </row>
    <row r="43" spans="1:3" x14ac:dyDescent="0.25">
      <c r="A43" s="3"/>
      <c r="B43" s="2"/>
      <c r="C43" s="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K27" sqref="K27"/>
    </sheetView>
  </sheetViews>
  <sheetFormatPr defaultRowHeight="15" x14ac:dyDescent="0.25"/>
  <sheetData>
    <row r="1" spans="1:8" x14ac:dyDescent="0.25">
      <c r="A1" t="s">
        <v>0</v>
      </c>
    </row>
    <row r="2" spans="1:8" x14ac:dyDescent="0.25">
      <c r="A2" t="s">
        <v>1</v>
      </c>
      <c r="C2" s="3">
        <v>0.04</v>
      </c>
      <c r="D2" s="3">
        <v>0.06</v>
      </c>
      <c r="E2" s="3">
        <v>0.08</v>
      </c>
      <c r="F2" s="3">
        <v>0.1</v>
      </c>
      <c r="G2" s="3">
        <v>0.12</v>
      </c>
      <c r="H2" s="3">
        <v>0.14000000000000001</v>
      </c>
    </row>
    <row r="3" spans="1:8" x14ac:dyDescent="0.25">
      <c r="A3">
        <v>298.14999999999998</v>
      </c>
      <c r="B3">
        <v>3.3540164346805303</v>
      </c>
      <c r="C3">
        <v>4.923</v>
      </c>
      <c r="D3">
        <v>3.0420000000000003</v>
      </c>
      <c r="E3">
        <v>1.3860000000000001</v>
      </c>
      <c r="F3">
        <v>-0.54100000000000004</v>
      </c>
      <c r="G3">
        <v>-2.0260000000000002</v>
      </c>
      <c r="H3">
        <v>-2.7760000000000002</v>
      </c>
    </row>
    <row r="4" spans="1:8" x14ac:dyDescent="0.25">
      <c r="A4">
        <v>303.14999999999998</v>
      </c>
      <c r="B4">
        <v>3.2986970146792021</v>
      </c>
      <c r="C4">
        <v>5.2780000000000005</v>
      </c>
      <c r="D4">
        <v>3.4950000000000001</v>
      </c>
      <c r="E4">
        <v>1.9279999999999999</v>
      </c>
      <c r="F4">
        <v>0</v>
      </c>
      <c r="G4">
        <v>-1.444</v>
      </c>
      <c r="H4">
        <v>-2.1930000000000001</v>
      </c>
    </row>
    <row r="5" spans="1:8" x14ac:dyDescent="0.25">
      <c r="A5">
        <v>308.14999999999998</v>
      </c>
      <c r="B5">
        <v>3.2451728054518907</v>
      </c>
      <c r="C5">
        <v>5.62</v>
      </c>
      <c r="D5">
        <v>4.0030000000000001</v>
      </c>
      <c r="E5">
        <v>2.5169999999999999</v>
      </c>
      <c r="F5">
        <v>0.58899999999999997</v>
      </c>
      <c r="G5">
        <v>-0.73799999999999999</v>
      </c>
      <c r="H5">
        <v>-1.5580000000000001</v>
      </c>
    </row>
    <row r="6" spans="1:8" x14ac:dyDescent="0.25">
      <c r="A6">
        <v>313.14999999999998</v>
      </c>
      <c r="B6">
        <v>3.1933578157432541</v>
      </c>
      <c r="C6">
        <v>5.9710000000000001</v>
      </c>
      <c r="D6">
        <v>4.548</v>
      </c>
      <c r="E6">
        <v>3.1510000000000002</v>
      </c>
      <c r="F6">
        <v>1.2809999999999999</v>
      </c>
      <c r="G6">
        <v>0</v>
      </c>
      <c r="H6">
        <v>-0.876</v>
      </c>
    </row>
    <row r="7" spans="1:8" x14ac:dyDescent="0.25">
      <c r="A7">
        <v>318.14999999999998</v>
      </c>
      <c r="B7">
        <v>3.1431714600031433</v>
      </c>
      <c r="C7">
        <v>6.327</v>
      </c>
      <c r="D7">
        <v>5.0739999999999998</v>
      </c>
      <c r="E7">
        <v>3.7960000000000003</v>
      </c>
      <c r="F7">
        <v>1.9850000000000001</v>
      </c>
      <c r="G7">
        <v>0.67600000000000005</v>
      </c>
      <c r="H7">
        <v>-0.10200000000000001</v>
      </c>
    </row>
    <row r="8" spans="1:8" x14ac:dyDescent="0.25">
      <c r="A8">
        <v>323.14999999999998</v>
      </c>
      <c r="B8">
        <v>3.0945381401825776</v>
      </c>
      <c r="C8">
        <v>6.6790000000000003</v>
      </c>
      <c r="D8">
        <v>5.6870000000000003</v>
      </c>
      <c r="E8">
        <v>4.5209999999999999</v>
      </c>
      <c r="F8">
        <v>2.7210000000000001</v>
      </c>
      <c r="G8">
        <v>1.488</v>
      </c>
      <c r="H8">
        <v>0.70399999999999996</v>
      </c>
    </row>
    <row r="9" spans="1:8" x14ac:dyDescent="0.25">
      <c r="A9">
        <v>328.15</v>
      </c>
      <c r="B9">
        <v>3.0473868657626086</v>
      </c>
      <c r="C9">
        <v>7.0120000000000005</v>
      </c>
      <c r="D9">
        <v>6.3129999999999997</v>
      </c>
      <c r="E9">
        <v>5.3310000000000004</v>
      </c>
      <c r="F9">
        <v>3.593</v>
      </c>
      <c r="G9">
        <v>2.4090000000000003</v>
      </c>
      <c r="H9">
        <v>1.619</v>
      </c>
    </row>
    <row r="10" spans="1:8" x14ac:dyDescent="0.25">
      <c r="A10">
        <v>333.15</v>
      </c>
      <c r="B10">
        <v>3.0016509079993998</v>
      </c>
      <c r="C10">
        <v>7.335</v>
      </c>
      <c r="D10">
        <v>7.0049999999999999</v>
      </c>
      <c r="E10">
        <v>6.2</v>
      </c>
      <c r="F10">
        <v>4.5750000000000002</v>
      </c>
      <c r="G10">
        <v>3.5380000000000003</v>
      </c>
      <c r="H10">
        <v>2.6850000000000001</v>
      </c>
    </row>
    <row r="11" spans="1:8" x14ac:dyDescent="0.25">
      <c r="A11">
        <v>338.15</v>
      </c>
      <c r="B11">
        <v>2.9572674848440044</v>
      </c>
      <c r="C11">
        <v>7.601</v>
      </c>
      <c r="D11">
        <v>7.6420000000000003</v>
      </c>
      <c r="E11">
        <v>7.1080000000000005</v>
      </c>
      <c r="F11">
        <v>5.6080000000000005</v>
      </c>
      <c r="G11">
        <v>4.6340000000000003</v>
      </c>
      <c r="H11">
        <v>3.9290000000000003</v>
      </c>
    </row>
    <row r="12" spans="1:8" x14ac:dyDescent="0.25">
      <c r="A12">
        <v>343.15</v>
      </c>
      <c r="B12">
        <v>2.9141774734081309</v>
      </c>
      <c r="C12">
        <v>7.7880000000000003</v>
      </c>
      <c r="D12">
        <v>8.2740000000000009</v>
      </c>
      <c r="E12">
        <v>7.9969999999999999</v>
      </c>
      <c r="F12">
        <v>6.7750000000000004</v>
      </c>
      <c r="G12">
        <v>5.7679999999999998</v>
      </c>
      <c r="H12">
        <v>5.1139999999999999</v>
      </c>
    </row>
    <row r="13" spans="1:8" x14ac:dyDescent="0.25">
      <c r="A13">
        <v>348.15</v>
      </c>
      <c r="B13">
        <v>2.8723251472066642</v>
      </c>
      <c r="C13">
        <v>7.8840000000000003</v>
      </c>
      <c r="D13">
        <v>8.7560000000000002</v>
      </c>
      <c r="E13">
        <v>8.7720000000000002</v>
      </c>
      <c r="F13">
        <v>7.6029999999999998</v>
      </c>
      <c r="G13">
        <v>6.8070000000000004</v>
      </c>
      <c r="H13">
        <v>6.2789999999999999</v>
      </c>
    </row>
    <row r="14" spans="1:8" x14ac:dyDescent="0.25">
      <c r="A14">
        <v>353.15</v>
      </c>
      <c r="B14">
        <v>2.8316579357213651</v>
      </c>
      <c r="C14">
        <v>7.98</v>
      </c>
      <c r="D14">
        <v>9.0560000000000009</v>
      </c>
      <c r="E14">
        <v>9.359</v>
      </c>
      <c r="F14">
        <v>8.5299999999999994</v>
      </c>
      <c r="G14">
        <v>7.8840000000000003</v>
      </c>
      <c r="H14">
        <v>7.3650000000000002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workbookViewId="0">
      <selection activeCell="D10" sqref="D10"/>
    </sheetView>
  </sheetViews>
  <sheetFormatPr defaultRowHeight="15" x14ac:dyDescent="0.25"/>
  <sheetData>
    <row r="1" spans="1:19" x14ac:dyDescent="0.25">
      <c r="A1" s="2" t="s">
        <v>11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x14ac:dyDescent="0.25">
      <c r="A3" s="2" t="s">
        <v>12</v>
      </c>
      <c r="B3" s="5" t="s">
        <v>14</v>
      </c>
      <c r="C3" s="5"/>
      <c r="D3" s="5"/>
      <c r="E3" s="2" t="s">
        <v>13</v>
      </c>
      <c r="F3" s="2" t="s">
        <v>2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x14ac:dyDescent="0.25">
      <c r="A4" s="1">
        <v>0.02</v>
      </c>
      <c r="B4" s="2">
        <f>(22.613+23.341+22.548)/3</f>
        <v>22.834</v>
      </c>
      <c r="C4" s="2">
        <f>(24.78+24.481+24.74)/3</f>
        <v>24.667000000000002</v>
      </c>
      <c r="D4" s="2">
        <f>(23.042+19.912+21.954)/3</f>
        <v>21.635999999999999</v>
      </c>
      <c r="E4" s="2">
        <f>(25.01+24.93+24.93)/3</f>
        <v>24.956666666666667</v>
      </c>
      <c r="F4" s="2">
        <f t="shared" ref="F4:F17" si="0">A4*100</f>
        <v>2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x14ac:dyDescent="0.25">
      <c r="A5" s="1">
        <v>0.03</v>
      </c>
      <c r="B5" s="2">
        <f>(19.96+19.984+21.626)/3</f>
        <v>20.523333333333337</v>
      </c>
      <c r="C5" s="2">
        <f>(22.34+23.394+23.145)/3</f>
        <v>22.959666666666664</v>
      </c>
      <c r="D5" s="2">
        <f>(19.373+20.858+19.478)/3</f>
        <v>19.903000000000002</v>
      </c>
      <c r="E5" s="2">
        <f>(23.3+23.87+23.35)/3</f>
        <v>23.506666666666671</v>
      </c>
      <c r="F5" s="2">
        <f t="shared" si="0"/>
        <v>3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x14ac:dyDescent="0.25">
      <c r="A6" s="1">
        <v>0.04</v>
      </c>
      <c r="B6" s="2">
        <f>(19.145+17.997+19.396)/3</f>
        <v>18.846</v>
      </c>
      <c r="C6" s="2">
        <f>(21.04+20.55+19.75)/3</f>
        <v>20.446666666666669</v>
      </c>
      <c r="D6" s="2">
        <f>(18.85+18.083+18.501)/3</f>
        <v>18.477999999999998</v>
      </c>
      <c r="E6" s="2">
        <f>(21.64+19.35+20.7)/3</f>
        <v>20.563333333333333</v>
      </c>
      <c r="F6" s="2">
        <f t="shared" si="0"/>
        <v>4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x14ac:dyDescent="0.25">
      <c r="A7" s="1">
        <v>0.05</v>
      </c>
      <c r="B7" s="2">
        <f>(17.26+17.12+16.209)/3</f>
        <v>16.863</v>
      </c>
      <c r="C7" s="2">
        <f>(18.91+19.24+19.41)/3</f>
        <v>19.186666666666667</v>
      </c>
      <c r="D7" s="2">
        <f>(16.864+17.215+17.577)/3</f>
        <v>17.218666666666667</v>
      </c>
      <c r="E7" s="2">
        <f>(20.05+19.35+19.79)/3</f>
        <v>19.73</v>
      </c>
      <c r="F7" s="2">
        <f t="shared" si="0"/>
        <v>5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x14ac:dyDescent="0.25">
      <c r="A8" s="1">
        <v>0.06</v>
      </c>
      <c r="B8" s="2">
        <f>(15.56+15.501+16.27)/3</f>
        <v>15.777000000000001</v>
      </c>
      <c r="C8" s="2">
        <f>(17.876+17.64+17.66)/3</f>
        <v>17.725333333333335</v>
      </c>
      <c r="D8" s="2">
        <f>(15.115+15.512+15.29)/3</f>
        <v>15.305666666666667</v>
      </c>
      <c r="E8" s="2">
        <f>(17.37+17.48+17.55)/3</f>
        <v>17.466666666666669</v>
      </c>
      <c r="F8" s="2">
        <f t="shared" si="0"/>
        <v>6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x14ac:dyDescent="0.25">
      <c r="A9" s="1">
        <v>7.0000000000000007E-2</v>
      </c>
      <c r="B9" s="2">
        <f>(13.261+13.224+12.544)/3</f>
        <v>13.009666666666666</v>
      </c>
      <c r="C9" s="2">
        <f>(16.808+16.954+17.145)/3</f>
        <v>16.968999999999998</v>
      </c>
      <c r="D9" s="2">
        <f>(13.938+15.033+14.526)/3</f>
        <v>14.499000000000001</v>
      </c>
      <c r="E9" s="2">
        <f>(17.6+17.58+17.94)/3</f>
        <v>17.706666666666667</v>
      </c>
      <c r="F9" s="2">
        <f t="shared" si="0"/>
        <v>7.0000000000000009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x14ac:dyDescent="0.25">
      <c r="A10" s="1">
        <v>0.08</v>
      </c>
      <c r="B10" s="2">
        <f>(13.335+13.025+12.323)/3</f>
        <v>12.894333333333334</v>
      </c>
      <c r="C10" s="2">
        <f>(16.977+16.737+16.207)/3</f>
        <v>16.640333333333334</v>
      </c>
      <c r="D10" s="2">
        <f>(13.151+13.239+13.01)/3</f>
        <v>13.133333333333333</v>
      </c>
      <c r="E10" s="2">
        <f>(16.57+16.57+16.53)/3</f>
        <v>16.556666666666668</v>
      </c>
      <c r="F10" s="2">
        <f t="shared" si="0"/>
        <v>8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 x14ac:dyDescent="0.25">
      <c r="A11" s="1">
        <v>0.09</v>
      </c>
      <c r="B11" s="2">
        <f>(12.62+12.125+12.306)/3</f>
        <v>12.350333333333332</v>
      </c>
      <c r="C11" s="2">
        <f>(15.815+16.003+15.901)/3</f>
        <v>15.906333333333331</v>
      </c>
      <c r="D11" s="2">
        <f>(12.961+13.276+13.247)/3</f>
        <v>13.161333333333333</v>
      </c>
      <c r="E11" s="2">
        <f>(15.67+15.46+15.27)/3</f>
        <v>15.466666666666669</v>
      </c>
      <c r="F11" s="2">
        <f t="shared" si="0"/>
        <v>9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x14ac:dyDescent="0.25">
      <c r="A12" s="1">
        <v>0.1</v>
      </c>
      <c r="B12" s="2">
        <f>(12.432+12.928+13.003)/3</f>
        <v>12.787666666666667</v>
      </c>
      <c r="C12" s="2">
        <f>(15.029+15.379+15.287)/3</f>
        <v>15.231666666666667</v>
      </c>
      <c r="D12" s="2">
        <f>(12.898+12.812+12.519)/3</f>
        <v>12.743</v>
      </c>
      <c r="E12" s="2">
        <f>(15.15+15.03+15.3)/3</f>
        <v>15.160000000000002</v>
      </c>
      <c r="F12" s="2">
        <f t="shared" si="0"/>
        <v>10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19" x14ac:dyDescent="0.25">
      <c r="A13" s="1">
        <v>0.11</v>
      </c>
      <c r="B13" s="2">
        <f>(12.745+13.147+13.315)/3</f>
        <v>13.069000000000001</v>
      </c>
      <c r="C13" s="2">
        <f>(15.31+14.715+15.1)/3</f>
        <v>15.041666666666666</v>
      </c>
      <c r="D13" s="2">
        <f>(12.473+12.989+12.949)/3</f>
        <v>12.803666666666667</v>
      </c>
      <c r="E13" s="2">
        <f>(14.75+14.83+14.67)/3</f>
        <v>14.75</v>
      </c>
      <c r="F13" s="2">
        <f t="shared" si="0"/>
        <v>11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x14ac:dyDescent="0.25">
      <c r="A14" s="1">
        <v>0.12</v>
      </c>
      <c r="B14" s="2">
        <f>(12.933+12.637+11.823)/3</f>
        <v>12.464333333333334</v>
      </c>
      <c r="C14" s="2">
        <f>(14.667+14.809+14.654)/3</f>
        <v>14.709999999999999</v>
      </c>
      <c r="D14" s="2">
        <f>(12.054+12.43+12.85)/3</f>
        <v>12.444666666666668</v>
      </c>
      <c r="E14" s="2">
        <f>(15.19+14.37+14.21)/3</f>
        <v>14.589999999999998</v>
      </c>
      <c r="F14" s="2">
        <f t="shared" si="0"/>
        <v>12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x14ac:dyDescent="0.25">
      <c r="A15" s="1">
        <v>0.13</v>
      </c>
      <c r="B15" s="2">
        <f>(12.344+12.686+12.514)/3</f>
        <v>12.514666666666665</v>
      </c>
      <c r="C15" s="2">
        <f>(14.95+14.867+14.92)/3</f>
        <v>14.912333333333335</v>
      </c>
      <c r="D15" s="2">
        <f>(12.316+12.662+12.103)/3</f>
        <v>12.360333333333335</v>
      </c>
      <c r="E15" s="2">
        <f>(15.2+15.74+15.2)/3</f>
        <v>15.38</v>
      </c>
      <c r="F15" s="2">
        <f t="shared" si="0"/>
        <v>13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x14ac:dyDescent="0.25">
      <c r="A16" s="1">
        <v>0.14000000000000001</v>
      </c>
      <c r="B16" s="2">
        <f>((12.669+12.392+12.595)/3)</f>
        <v>12.552</v>
      </c>
      <c r="C16" s="2">
        <f>(14.937+15.047+14.872)/3</f>
        <v>14.952</v>
      </c>
      <c r="D16" s="2">
        <f>(11.913+12.824+12.25)/3</f>
        <v>12.329000000000001</v>
      </c>
      <c r="E16" s="2">
        <f>(14.66+14.56+14.24)/3</f>
        <v>14.486666666666666</v>
      </c>
      <c r="F16" s="2">
        <f t="shared" si="0"/>
        <v>14.000000000000002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x14ac:dyDescent="0.25">
      <c r="A17" s="1">
        <v>0.15</v>
      </c>
      <c r="B17" s="2">
        <f>(12.627+12.509+12.367)/3</f>
        <v>12.500999999999999</v>
      </c>
      <c r="C17" s="2">
        <f>(14.101+14.269+14.131)/3</f>
        <v>14.167000000000002</v>
      </c>
      <c r="D17" s="2">
        <f>(12.484+12.313+12.367)/3</f>
        <v>12.388</v>
      </c>
      <c r="E17" s="2">
        <f>(14.59+14.21+14.32)/3</f>
        <v>14.373333333333335</v>
      </c>
      <c r="F17" s="2">
        <f t="shared" si="0"/>
        <v>15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</sheetData>
  <mergeCells count="1">
    <mergeCell ref="B3:D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Figure2f</vt:lpstr>
      <vt:lpstr>Figure2g</vt:lpstr>
      <vt:lpstr>Supplementary Figure3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Ying Wang</dc:creator>
  <cp:lastModifiedBy>Ying Wang</cp:lastModifiedBy>
  <dcterms:created xsi:type="dcterms:W3CDTF">2014-03-03T15:39:53Z</dcterms:created>
  <dcterms:modified xsi:type="dcterms:W3CDTF">2019-01-21T00:07:46Z</dcterms:modified>
</cp:coreProperties>
</file>