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研究関連\論文および報告書\投稿中の論文\"/>
    </mc:Choice>
  </mc:AlternateContent>
  <xr:revisionPtr revIDLastSave="0" documentId="13_ncr:1_{330EAC37-B368-41F4-B5C5-DCFB0E76A2AE}" xr6:coauthVersionLast="46" xr6:coauthVersionMax="46" xr10:uidLastSave="{00000000-0000-0000-0000-000000000000}"/>
  <bookViews>
    <workbookView xWindow="36" yWindow="3024" windowWidth="21432" windowHeight="10740" xr2:uid="{00000000-000D-0000-FFFF-FFFF00000000}"/>
  </bookViews>
  <sheets>
    <sheet name="All data" sheetId="1" r:id="rId1"/>
  </sheets>
  <calcPr calcId="181029"/>
</workbook>
</file>

<file path=xl/calcChain.xml><?xml version="1.0" encoding="utf-8"?>
<calcChain xmlns="http://schemas.openxmlformats.org/spreadsheetml/2006/main">
  <c r="Q29" i="1" l="1"/>
  <c r="R29" i="1"/>
  <c r="S29" i="1"/>
  <c r="T29" i="1"/>
  <c r="U29" i="1"/>
  <c r="V29" i="1"/>
  <c r="P29" i="1"/>
  <c r="D14" i="1"/>
  <c r="D25" i="1" s="1"/>
  <c r="J66" i="1"/>
  <c r="J67" i="1"/>
  <c r="J68" i="1"/>
  <c r="J69" i="1"/>
  <c r="J70" i="1"/>
  <c r="J71" i="1"/>
  <c r="J65" i="1"/>
  <c r="I66" i="1"/>
  <c r="I67" i="1"/>
  <c r="I68" i="1"/>
  <c r="I69" i="1"/>
  <c r="I70" i="1"/>
  <c r="I71" i="1"/>
  <c r="I65" i="1"/>
  <c r="H66" i="1"/>
  <c r="H67" i="1"/>
  <c r="H68" i="1"/>
  <c r="H69" i="1"/>
  <c r="H70" i="1"/>
  <c r="H71" i="1"/>
  <c r="H65" i="1"/>
  <c r="G66" i="1"/>
  <c r="G67" i="1"/>
  <c r="G68" i="1"/>
  <c r="G69" i="1"/>
  <c r="G70" i="1"/>
  <c r="G71" i="1"/>
  <c r="G65" i="1"/>
  <c r="F66" i="1"/>
  <c r="F67" i="1"/>
  <c r="F68" i="1"/>
  <c r="F69" i="1"/>
  <c r="F70" i="1"/>
  <c r="F71" i="1"/>
  <c r="F65" i="1"/>
  <c r="E66" i="1"/>
  <c r="E67" i="1"/>
  <c r="E68" i="1"/>
  <c r="E69" i="1"/>
  <c r="E70" i="1"/>
  <c r="E71" i="1"/>
  <c r="E65" i="1"/>
  <c r="D66" i="1"/>
  <c r="D67" i="1"/>
  <c r="D68" i="1"/>
  <c r="D69" i="1"/>
  <c r="D70" i="1"/>
  <c r="D71" i="1"/>
  <c r="D65" i="1"/>
  <c r="J16" i="1"/>
  <c r="J27" i="1"/>
  <c r="J40" i="1" s="1"/>
  <c r="J17" i="1"/>
  <c r="J28" i="1"/>
  <c r="J53" i="1" s="1"/>
  <c r="J18" i="1"/>
  <c r="J29" i="1" s="1"/>
  <c r="J19" i="1"/>
  <c r="J30" i="1"/>
  <c r="J43" i="1" s="1"/>
  <c r="J55" i="1"/>
  <c r="J20" i="1"/>
  <c r="J31" i="1" s="1"/>
  <c r="J21" i="1"/>
  <c r="J32" i="1" s="1"/>
  <c r="J15" i="1"/>
  <c r="J26" i="1"/>
  <c r="J51" i="1" s="1"/>
  <c r="I16" i="1"/>
  <c r="I27" i="1" s="1"/>
  <c r="I17" i="1"/>
  <c r="I28" i="1"/>
  <c r="I53" i="1" s="1"/>
  <c r="I41" i="1"/>
  <c r="I18" i="1"/>
  <c r="I29" i="1" s="1"/>
  <c r="I19" i="1"/>
  <c r="I30" i="1"/>
  <c r="I55" i="1" s="1"/>
  <c r="I20" i="1"/>
  <c r="I31" i="1"/>
  <c r="I56" i="1"/>
  <c r="I21" i="1"/>
  <c r="I32" i="1" s="1"/>
  <c r="I15" i="1"/>
  <c r="I26" i="1" s="1"/>
  <c r="H16" i="1"/>
  <c r="H27" i="1" s="1"/>
  <c r="H17" i="1"/>
  <c r="H28" i="1" s="1"/>
  <c r="H18" i="1"/>
  <c r="H29" i="1"/>
  <c r="H54" i="1" s="1"/>
  <c r="H19" i="1"/>
  <c r="H30" i="1" s="1"/>
  <c r="H20" i="1"/>
  <c r="H31" i="1"/>
  <c r="H44" i="1" s="1"/>
  <c r="H21" i="1"/>
  <c r="H32" i="1" s="1"/>
  <c r="H15" i="1"/>
  <c r="H26" i="1" s="1"/>
  <c r="G16" i="1"/>
  <c r="G27" i="1" s="1"/>
  <c r="G52" i="1" s="1"/>
  <c r="G17" i="1"/>
  <c r="G28" i="1" s="1"/>
  <c r="G18" i="1"/>
  <c r="G29" i="1"/>
  <c r="G42" i="1" s="1"/>
  <c r="G54" i="1"/>
  <c r="G19" i="1"/>
  <c r="G30" i="1" s="1"/>
  <c r="G20" i="1"/>
  <c r="G31" i="1" s="1"/>
  <c r="G21" i="1"/>
  <c r="G32" i="1"/>
  <c r="G57" i="1" s="1"/>
  <c r="G15" i="1"/>
  <c r="G26" i="1" s="1"/>
  <c r="F16" i="1"/>
  <c r="F27" i="1"/>
  <c r="F52" i="1"/>
  <c r="F17" i="1"/>
  <c r="F28" i="1" s="1"/>
  <c r="F18" i="1"/>
  <c r="F29" i="1" s="1"/>
  <c r="F19" i="1"/>
  <c r="F30" i="1" s="1"/>
  <c r="F20" i="1"/>
  <c r="F31" i="1" s="1"/>
  <c r="F44" i="1" s="1"/>
  <c r="F21" i="1"/>
  <c r="F32" i="1" s="1"/>
  <c r="F15" i="1"/>
  <c r="F26" i="1" s="1"/>
  <c r="E16" i="1"/>
  <c r="E27" i="1" s="1"/>
  <c r="E17" i="1"/>
  <c r="E28" i="1"/>
  <c r="E41" i="1" s="1"/>
  <c r="E18" i="1"/>
  <c r="E29" i="1" s="1"/>
  <c r="E19" i="1"/>
  <c r="E30" i="1" s="1"/>
  <c r="E43" i="1" s="1"/>
  <c r="E20" i="1"/>
  <c r="E31" i="1"/>
  <c r="E56" i="1" s="1"/>
  <c r="E44" i="1"/>
  <c r="E21" i="1"/>
  <c r="E32" i="1" s="1"/>
  <c r="E15" i="1"/>
  <c r="E26" i="1" s="1"/>
  <c r="D16" i="1"/>
  <c r="D27" i="1"/>
  <c r="D52" i="1" s="1"/>
  <c r="D17" i="1"/>
  <c r="D28" i="1"/>
  <c r="D53" i="1" s="1"/>
  <c r="D18" i="1"/>
  <c r="D29" i="1" s="1"/>
  <c r="D42" i="1" s="1"/>
  <c r="D19" i="1"/>
  <c r="D30" i="1" s="1"/>
  <c r="D20" i="1"/>
  <c r="D31" i="1"/>
  <c r="D56" i="1" s="1"/>
  <c r="D21" i="1"/>
  <c r="D32" i="1" s="1"/>
  <c r="D15" i="1"/>
  <c r="D26" i="1" s="1"/>
  <c r="L39" i="1"/>
  <c r="F40" i="1"/>
  <c r="D40" i="1"/>
  <c r="J14" i="1"/>
  <c r="J25" i="1"/>
  <c r="I14" i="1"/>
  <c r="I25" i="1" s="1"/>
  <c r="H14" i="1"/>
  <c r="H25" i="1"/>
  <c r="G14" i="1"/>
  <c r="G25" i="1" s="1"/>
  <c r="F14" i="1"/>
  <c r="F25" i="1" s="1"/>
  <c r="E14" i="1"/>
  <c r="E25" i="1" s="1"/>
  <c r="M3" i="1"/>
  <c r="M4" i="1"/>
  <c r="M2" i="1"/>
  <c r="M6" i="1"/>
  <c r="D78" i="1"/>
  <c r="D79" i="1" s="1"/>
  <c r="M5" i="1"/>
  <c r="D44" i="1"/>
  <c r="J39" i="1"/>
  <c r="I44" i="1"/>
  <c r="D39" i="1" l="1"/>
  <c r="D51" i="1"/>
  <c r="E54" i="1"/>
  <c r="E42" i="1"/>
  <c r="G44" i="1"/>
  <c r="G56" i="1"/>
  <c r="E39" i="1"/>
  <c r="E51" i="1"/>
  <c r="F42" i="1"/>
  <c r="F54" i="1"/>
  <c r="I51" i="1"/>
  <c r="I39" i="1"/>
  <c r="F45" i="1"/>
  <c r="F57" i="1"/>
  <c r="F43" i="1"/>
  <c r="F55" i="1"/>
  <c r="I43" i="1"/>
  <c r="H56" i="1"/>
  <c r="D74" i="1"/>
  <c r="D75" i="1" s="1"/>
  <c r="L29" i="1"/>
  <c r="M23" i="1"/>
  <c r="L27" i="1" s="1"/>
  <c r="J74" i="1"/>
  <c r="J75" i="1" s="1"/>
  <c r="D41" i="1"/>
  <c r="J52" i="1"/>
  <c r="E53" i="1"/>
  <c r="H42" i="1"/>
  <c r="F39" i="1"/>
  <c r="F51" i="1"/>
  <c r="G39" i="1"/>
  <c r="G51" i="1"/>
  <c r="H52" i="1"/>
  <c r="H40" i="1"/>
  <c r="I40" i="1"/>
  <c r="I52" i="1"/>
  <c r="J42" i="1"/>
  <c r="J54" i="1"/>
  <c r="D43" i="1"/>
  <c r="D55" i="1"/>
  <c r="H43" i="1"/>
  <c r="H55" i="1"/>
  <c r="J57" i="1"/>
  <c r="J45" i="1"/>
  <c r="G53" i="1"/>
  <c r="G41" i="1"/>
  <c r="I54" i="1"/>
  <c r="I42" i="1"/>
  <c r="F74" i="1"/>
  <c r="F75" i="1" s="1"/>
  <c r="E45" i="1"/>
  <c r="E57" i="1"/>
  <c r="F53" i="1"/>
  <c r="F41" i="1"/>
  <c r="I45" i="1"/>
  <c r="I57" i="1"/>
  <c r="J56" i="1"/>
  <c r="J44" i="1"/>
  <c r="D45" i="1"/>
  <c r="D57" i="1"/>
  <c r="G43" i="1"/>
  <c r="G55" i="1"/>
  <c r="H39" i="1"/>
  <c r="H51" i="1"/>
  <c r="H74" i="1"/>
  <c r="H75" i="1" s="1"/>
  <c r="E40" i="1"/>
  <c r="E52" i="1"/>
  <c r="H57" i="1"/>
  <c r="H45" i="1"/>
  <c r="H41" i="1"/>
  <c r="H53" i="1"/>
  <c r="G45" i="1"/>
  <c r="F56" i="1"/>
  <c r="E55" i="1"/>
  <c r="G40" i="1"/>
  <c r="D54" i="1"/>
  <c r="J41" i="1"/>
</calcChain>
</file>

<file path=xl/sharedStrings.xml><?xml version="1.0" encoding="utf-8"?>
<sst xmlns="http://schemas.openxmlformats.org/spreadsheetml/2006/main" count="76" uniqueCount="37">
  <si>
    <t>Er0-ribbon</t>
    <phoneticPr fontId="1"/>
  </si>
  <si>
    <t>ER1-ribbon</t>
    <phoneticPr fontId="1"/>
  </si>
  <si>
    <t>Er2-ribbon</t>
    <phoneticPr fontId="1"/>
  </si>
  <si>
    <t>Er0.5-ribbon</t>
    <phoneticPr fontId="1"/>
  </si>
  <si>
    <t>Er0-bulk</t>
    <phoneticPr fontId="1"/>
  </si>
  <si>
    <t>ER1-bulk</t>
    <phoneticPr fontId="1"/>
  </si>
  <si>
    <t>Er2-bulk</t>
    <phoneticPr fontId="1"/>
  </si>
  <si>
    <r>
      <t>Temperature (</t>
    </r>
    <r>
      <rPr>
        <sz val="11"/>
        <rFont val="Symbol"/>
        <family val="1"/>
        <charset val="2"/>
      </rPr>
      <t>°</t>
    </r>
    <r>
      <rPr>
        <sz val="11"/>
        <rFont val="ＭＳ Ｐゴシック"/>
        <family val="3"/>
        <charset val="128"/>
      </rPr>
      <t>C)</t>
    </r>
    <phoneticPr fontId="1"/>
  </si>
  <si>
    <t>density of electron, n</t>
    <phoneticPr fontId="1"/>
  </si>
  <si>
    <t>[eV] to [J]</t>
    <phoneticPr fontId="1"/>
  </si>
  <si>
    <t>Plasmon energy (eV)</t>
    <phoneticPr fontId="1"/>
  </si>
  <si>
    <t>e, charge of electron [C]</t>
    <phoneticPr fontId="1"/>
  </si>
  <si>
    <t>m0, rest of electron mass [kg]</t>
    <phoneticPr fontId="1"/>
  </si>
  <si>
    <r>
      <t>e0</t>
    </r>
    <r>
      <rPr>
        <sz val="8.25"/>
        <rFont val="ＭＳ Ｐゴシック"/>
        <family val="3"/>
        <charset val="128"/>
      </rPr>
      <t xml:space="preserve">, </t>
    </r>
    <r>
      <rPr>
        <sz val="11"/>
        <rFont val="ＭＳ Ｐゴシック"/>
        <family val="3"/>
        <charset val="128"/>
      </rPr>
      <t>permittivity of free space [F/m]</t>
    </r>
    <phoneticPr fontId="1"/>
  </si>
  <si>
    <t>Plasmon energy (J)</t>
    <phoneticPr fontId="1"/>
  </si>
  <si>
    <r>
      <t>m</t>
    </r>
    <r>
      <rPr>
        <sz val="12"/>
        <rFont val="Symbol"/>
        <family val="1"/>
        <charset val="2"/>
      </rPr>
      <t>´e</t>
    </r>
    <r>
      <rPr>
        <sz val="12"/>
        <rFont val="ＭＳ Ｐゴシック"/>
        <family val="3"/>
        <charset val="128"/>
      </rPr>
      <t>0/e/e/h/h</t>
    </r>
    <phoneticPr fontId="1"/>
  </si>
  <si>
    <r>
      <t xml:space="preserve">h, </t>
    </r>
    <r>
      <rPr>
        <sz val="11"/>
        <rFont val="ＭＳ Ｐゴシック"/>
        <family val="3"/>
        <charset val="128"/>
      </rPr>
      <t>Plank's constant/2</t>
    </r>
    <r>
      <rPr>
        <sz val="11"/>
        <rFont val="Symbol"/>
        <family val="1"/>
        <charset val="2"/>
      </rPr>
      <t xml:space="preserve">p </t>
    </r>
    <r>
      <rPr>
        <sz val="11"/>
        <rFont val="Times New Roman"/>
        <family val="1"/>
      </rPr>
      <t>[J s]</t>
    </r>
    <phoneticPr fontId="1"/>
  </si>
  <si>
    <t>coefficient of thermal expansion (linear expansion)(supposing constant outer-shell electron number in the unit volume)</t>
    <phoneticPr fontId="1"/>
  </si>
  <si>
    <t>change of outer-shell electron number (%) (supposing constant coefficient of thermal expansion as 15*10^-6)</t>
    <phoneticPr fontId="1"/>
  </si>
  <si>
    <t>Calculation of change of electron density, n, supposing CTE is 15*10^(-6) [K^-1}</t>
    <phoneticPr fontId="1"/>
  </si>
  <si>
    <t>Er0.5-bulk</t>
    <phoneticPr fontId="1"/>
  </si>
  <si>
    <t>20-200C, ave</t>
    <phoneticPr fontId="1"/>
  </si>
  <si>
    <t>delta Ep(J)</t>
    <phoneticPr fontId="1"/>
  </si>
  <si>
    <t>delta Ep(eV)</t>
    <phoneticPr fontId="1"/>
  </si>
  <si>
    <t>Temperature (°C)</t>
  </si>
  <si>
    <t>Er0-ribbon</t>
  </si>
  <si>
    <t>ER1-ribbon</t>
  </si>
  <si>
    <t>Er2-ribbon</t>
  </si>
  <si>
    <t>Er0.5-ribbon</t>
  </si>
  <si>
    <t>Er0.5-bulk</t>
  </si>
  <si>
    <t>ER1-bulk</t>
  </si>
  <si>
    <t>Er2-bulk</t>
  </si>
  <si>
    <t>average</t>
    <phoneticPr fontId="1"/>
  </si>
  <si>
    <t xml:space="preserve">average of electron density for the first three temperature </t>
    <phoneticPr fontId="1"/>
  </si>
  <si>
    <t>data for Fig. 1 and 2</t>
    <phoneticPr fontId="1"/>
  </si>
  <si>
    <t>data for Fig. 3 and 4</t>
    <phoneticPr fontId="1"/>
  </si>
  <si>
    <t>dotted line data for Fig. 3 and 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</si>
</sst>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Symbol"/>
      <family val="1"/>
      <charset val="2"/>
    </font>
    <font>
      <sz val="20"/>
      <name val="ＭＳ Ｐゴシック"/>
      <family val="3"/>
      <charset val="128"/>
    </font>
    <font>
      <sz val="8.25"/>
      <name val="ＭＳ Ｐゴシック"/>
      <family val="3"/>
      <charset val="128"/>
    </font>
    <font>
      <sz val="11"/>
      <name val="Times New Roman"/>
      <family val="1"/>
    </font>
    <font>
      <sz val="12"/>
      <name val="ＭＳ Ｐゴシック"/>
      <family val="3"/>
      <charset val="128"/>
    </font>
    <font>
      <sz val="12"/>
      <name val="Symbol"/>
      <family val="1"/>
      <charset val="2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1" fontId="0" fillId="0" borderId="0" xfId="0" applyNumberFormat="1">
      <alignment vertical="center"/>
    </xf>
    <xf numFmtId="11" fontId="0" fillId="0" borderId="0" xfId="0" applyNumberFormat="1" applyBorder="1">
      <alignment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9" fillId="2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abSelected="1" zoomScaleNormal="100" workbookViewId="0">
      <selection activeCell="B60" sqref="B60"/>
    </sheetView>
  </sheetViews>
  <sheetFormatPr defaultRowHeight="13.2" x14ac:dyDescent="0.2"/>
  <cols>
    <col min="3" max="3" width="15.33203125" customWidth="1"/>
    <col min="4" max="4" width="10.33203125" customWidth="1"/>
    <col min="5" max="5" width="11.109375" customWidth="1"/>
    <col min="6" max="6" width="10.33203125" customWidth="1"/>
    <col min="7" max="7" width="11.6640625" customWidth="1"/>
    <col min="8" max="9" width="13.21875" bestFit="1" customWidth="1"/>
    <col min="10" max="10" width="14.44140625" bestFit="1" customWidth="1"/>
    <col min="11" max="11" width="3" customWidth="1"/>
    <col min="12" max="12" width="27.33203125" customWidth="1"/>
    <col min="13" max="13" width="13.21875" bestFit="1" customWidth="1"/>
    <col min="14" max="14" width="4" customWidth="1"/>
    <col min="16" max="16" width="11.6640625" bestFit="1" customWidth="1"/>
  </cols>
  <sheetData>
    <row r="1" spans="1:13" ht="24" thickBot="1" x14ac:dyDescent="0.25">
      <c r="E1" s="10" t="s">
        <v>10</v>
      </c>
    </row>
    <row r="2" spans="1:13" ht="13.8" x14ac:dyDescent="0.2">
      <c r="A2" s="25" t="s">
        <v>34</v>
      </c>
      <c r="C2" s="2" t="s">
        <v>7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20</v>
      </c>
      <c r="I2" s="3" t="s">
        <v>5</v>
      </c>
      <c r="J2" s="4" t="s">
        <v>6</v>
      </c>
      <c r="L2" t="s">
        <v>11</v>
      </c>
      <c r="M2">
        <f>1.6*10^(-19)</f>
        <v>1.6000000000000002E-19</v>
      </c>
    </row>
    <row r="3" spans="1:13" x14ac:dyDescent="0.2">
      <c r="A3" s="25"/>
      <c r="C3" s="5">
        <v>20</v>
      </c>
      <c r="D3" s="1">
        <v>25.4</v>
      </c>
      <c r="E3" s="1">
        <v>25.3</v>
      </c>
      <c r="F3" s="1">
        <v>24.4</v>
      </c>
      <c r="G3" s="1">
        <v>25.3</v>
      </c>
      <c r="H3" s="1">
        <v>25.2</v>
      </c>
      <c r="I3" s="1">
        <v>25.3</v>
      </c>
      <c r="J3" s="6">
        <v>24.7</v>
      </c>
      <c r="L3" t="s">
        <v>12</v>
      </c>
      <c r="M3">
        <f>9.11*10^(-31)</f>
        <v>9.1100000000000003E-31</v>
      </c>
    </row>
    <row r="4" spans="1:13" ht="13.8" x14ac:dyDescent="0.2">
      <c r="A4" s="25"/>
      <c r="C4" s="5">
        <v>100</v>
      </c>
      <c r="D4" s="1">
        <v>25.2</v>
      </c>
      <c r="E4" s="1">
        <v>25.3</v>
      </c>
      <c r="F4" s="1">
        <v>24.5</v>
      </c>
      <c r="G4" s="1">
        <v>24.8</v>
      </c>
      <c r="H4" s="1">
        <v>25.1</v>
      </c>
      <c r="I4" s="1">
        <v>25.2</v>
      </c>
      <c r="J4" s="6">
        <v>24.7</v>
      </c>
      <c r="L4" s="11" t="s">
        <v>13</v>
      </c>
      <c r="M4">
        <f>8.85*10^(-12)</f>
        <v>8.8499999999999988E-12</v>
      </c>
    </row>
    <row r="5" spans="1:13" x14ac:dyDescent="0.2">
      <c r="A5" s="25"/>
      <c r="C5" s="5">
        <v>200</v>
      </c>
      <c r="D5" s="1">
        <v>25.2</v>
      </c>
      <c r="E5" s="1">
        <v>25.2</v>
      </c>
      <c r="F5" s="1">
        <v>24.5</v>
      </c>
      <c r="G5" s="1">
        <v>25</v>
      </c>
      <c r="H5" s="1">
        <v>25.1</v>
      </c>
      <c r="I5" s="1">
        <v>25</v>
      </c>
      <c r="J5" s="6">
        <v>24.5</v>
      </c>
      <c r="L5" t="s">
        <v>9</v>
      </c>
      <c r="M5">
        <f>1.60218*10^(-19)</f>
        <v>1.60218E-19</v>
      </c>
    </row>
    <row r="6" spans="1:13" ht="13.8" x14ac:dyDescent="0.2">
      <c r="A6" s="25"/>
      <c r="B6" s="26"/>
      <c r="C6" s="5">
        <v>300</v>
      </c>
      <c r="D6" s="1">
        <v>25</v>
      </c>
      <c r="E6" s="1">
        <v>25.2</v>
      </c>
      <c r="F6" s="1">
        <v>24.4</v>
      </c>
      <c r="G6" s="1">
        <v>24.7</v>
      </c>
      <c r="H6" s="1">
        <v>24.9</v>
      </c>
      <c r="I6" s="1">
        <v>25</v>
      </c>
      <c r="J6" s="6">
        <v>24.7</v>
      </c>
      <c r="L6" s="13" t="s">
        <v>16</v>
      </c>
      <c r="M6">
        <f>6.626075*10^(-34)/2/3.141592</f>
        <v>1.0545728089452736E-34</v>
      </c>
    </row>
    <row r="7" spans="1:13" x14ac:dyDescent="0.2">
      <c r="A7" s="25"/>
      <c r="C7" s="5">
        <v>400</v>
      </c>
      <c r="D7" s="1">
        <v>24.9</v>
      </c>
      <c r="E7" s="1">
        <v>24.9</v>
      </c>
      <c r="F7" s="1">
        <v>24.5</v>
      </c>
      <c r="G7" s="1">
        <v>24.8</v>
      </c>
      <c r="H7" s="1">
        <v>24.8</v>
      </c>
      <c r="I7" s="1">
        <v>25.1</v>
      </c>
      <c r="J7" s="6">
        <v>24.6</v>
      </c>
    </row>
    <row r="8" spans="1:13" x14ac:dyDescent="0.2">
      <c r="A8" s="25"/>
      <c r="C8" s="5">
        <v>450</v>
      </c>
      <c r="D8" s="1">
        <v>24.9</v>
      </c>
      <c r="E8" s="1">
        <v>24.9</v>
      </c>
      <c r="F8" s="1">
        <v>24.1</v>
      </c>
      <c r="G8" s="1">
        <v>24.6</v>
      </c>
      <c r="H8" s="1">
        <v>24.8</v>
      </c>
      <c r="I8" s="1">
        <v>24.6</v>
      </c>
      <c r="J8" s="6">
        <v>24.4</v>
      </c>
    </row>
    <row r="9" spans="1:13" x14ac:dyDescent="0.2">
      <c r="A9" s="25"/>
      <c r="C9" s="5">
        <v>500</v>
      </c>
      <c r="D9" s="1">
        <v>24.8</v>
      </c>
      <c r="E9" s="1">
        <v>24.7</v>
      </c>
      <c r="F9" s="1">
        <v>23.9</v>
      </c>
      <c r="G9" s="1">
        <v>24.6</v>
      </c>
      <c r="H9" s="1">
        <v>24.5</v>
      </c>
      <c r="I9" s="1">
        <v>24.7</v>
      </c>
      <c r="J9" s="6">
        <v>24.5</v>
      </c>
    </row>
    <row r="10" spans="1:13" ht="13.8" thickBot="1" x14ac:dyDescent="0.25">
      <c r="A10" s="25"/>
      <c r="C10" s="7">
        <v>550</v>
      </c>
      <c r="D10" s="8">
        <v>24.8</v>
      </c>
      <c r="E10" s="8">
        <v>24.7</v>
      </c>
      <c r="F10" s="8">
        <v>23.8</v>
      </c>
      <c r="G10" s="8">
        <v>24.7</v>
      </c>
      <c r="H10" s="8">
        <v>24.5</v>
      </c>
      <c r="I10" s="8">
        <v>24.9</v>
      </c>
      <c r="J10" s="9">
        <v>24.4</v>
      </c>
    </row>
    <row r="12" spans="1:13" ht="24" thickBot="1" x14ac:dyDescent="0.25">
      <c r="E12" s="10" t="s">
        <v>14</v>
      </c>
    </row>
    <row r="13" spans="1:13" ht="13.8" x14ac:dyDescent="0.2">
      <c r="C13" s="2" t="s">
        <v>7</v>
      </c>
      <c r="D13" s="3" t="s">
        <v>0</v>
      </c>
      <c r="E13" s="3" t="s">
        <v>1</v>
      </c>
      <c r="F13" s="3" t="s">
        <v>2</v>
      </c>
      <c r="G13" s="3" t="s">
        <v>3</v>
      </c>
      <c r="H13" s="3" t="s">
        <v>20</v>
      </c>
      <c r="I13" s="3" t="s">
        <v>5</v>
      </c>
      <c r="J13" s="4" t="s">
        <v>6</v>
      </c>
    </row>
    <row r="14" spans="1:13" x14ac:dyDescent="0.2">
      <c r="C14" s="5">
        <v>20</v>
      </c>
      <c r="D14" s="1">
        <f t="shared" ref="D14:D19" si="0">D3*1.60218*10^(-19)</f>
        <v>4.0695371999999995E-18</v>
      </c>
      <c r="E14" s="1">
        <f t="shared" ref="E14:J14" si="1">E3*1.60218*10^(-19)</f>
        <v>4.0535153999999998E-18</v>
      </c>
      <c r="F14" s="1">
        <f t="shared" si="1"/>
        <v>3.9093191999999997E-18</v>
      </c>
      <c r="G14" s="1">
        <f t="shared" si="1"/>
        <v>4.0535153999999998E-18</v>
      </c>
      <c r="H14" s="1">
        <f t="shared" si="1"/>
        <v>4.0374936E-18</v>
      </c>
      <c r="I14" s="1">
        <f t="shared" si="1"/>
        <v>4.0535153999999998E-18</v>
      </c>
      <c r="J14" s="1">
        <f t="shared" si="1"/>
        <v>3.9573845999999997E-18</v>
      </c>
    </row>
    <row r="15" spans="1:13" ht="13.8" x14ac:dyDescent="0.2">
      <c r="C15" s="5">
        <v>100</v>
      </c>
      <c r="D15" s="1">
        <f t="shared" si="0"/>
        <v>4.0374936E-18</v>
      </c>
      <c r="E15" s="1">
        <f t="shared" ref="E15:J19" si="2">E4*1.60218*10^(-19)</f>
        <v>4.0535153999999998E-18</v>
      </c>
      <c r="F15" s="1">
        <f t="shared" si="2"/>
        <v>3.9253409999999995E-18</v>
      </c>
      <c r="G15" s="1">
        <f t="shared" si="2"/>
        <v>3.9734063999999995E-18</v>
      </c>
      <c r="H15" s="1">
        <f t="shared" si="2"/>
        <v>4.0214717999999995E-18</v>
      </c>
      <c r="I15" s="1">
        <f t="shared" si="2"/>
        <v>4.0374936E-18</v>
      </c>
      <c r="J15" s="1">
        <f t="shared" si="2"/>
        <v>3.9573845999999997E-18</v>
      </c>
      <c r="L15" s="11"/>
    </row>
    <row r="16" spans="1:13" x14ac:dyDescent="0.2">
      <c r="C16" s="5">
        <v>200</v>
      </c>
      <c r="D16" s="1">
        <f t="shared" si="0"/>
        <v>4.0374936E-18</v>
      </c>
      <c r="E16" s="1">
        <f t="shared" si="2"/>
        <v>4.0374936E-18</v>
      </c>
      <c r="F16" s="1">
        <f t="shared" si="2"/>
        <v>3.9253409999999995E-18</v>
      </c>
      <c r="G16" s="1">
        <f t="shared" si="2"/>
        <v>4.0054499999999997E-18</v>
      </c>
      <c r="H16" s="1">
        <f t="shared" si="2"/>
        <v>4.0214717999999995E-18</v>
      </c>
      <c r="I16" s="1">
        <f t="shared" si="2"/>
        <v>4.0054499999999997E-18</v>
      </c>
      <c r="J16" s="1">
        <f t="shared" si="2"/>
        <v>3.9253409999999995E-18</v>
      </c>
    </row>
    <row r="17" spans="1:22" x14ac:dyDescent="0.2">
      <c r="C17" s="5">
        <v>300</v>
      </c>
      <c r="D17" s="1">
        <f t="shared" si="0"/>
        <v>4.0054499999999997E-18</v>
      </c>
      <c r="E17" s="1">
        <f t="shared" si="2"/>
        <v>4.0374936E-18</v>
      </c>
      <c r="F17" s="1">
        <f t="shared" si="2"/>
        <v>3.9093191999999997E-18</v>
      </c>
      <c r="G17" s="1">
        <f t="shared" si="2"/>
        <v>3.9573845999999997E-18</v>
      </c>
      <c r="H17" s="1">
        <f t="shared" si="2"/>
        <v>3.9894281999999992E-18</v>
      </c>
      <c r="I17" s="1">
        <f t="shared" si="2"/>
        <v>4.0054499999999997E-18</v>
      </c>
      <c r="J17" s="1">
        <f t="shared" si="2"/>
        <v>3.9573845999999997E-18</v>
      </c>
    </row>
    <row r="18" spans="1:22" x14ac:dyDescent="0.2">
      <c r="C18" s="5">
        <v>400</v>
      </c>
      <c r="D18" s="1">
        <f t="shared" si="0"/>
        <v>3.9894281999999992E-18</v>
      </c>
      <c r="E18" s="1">
        <f t="shared" si="2"/>
        <v>3.9894281999999992E-18</v>
      </c>
      <c r="F18" s="1">
        <f t="shared" si="2"/>
        <v>3.9253409999999995E-18</v>
      </c>
      <c r="G18" s="1">
        <f t="shared" si="2"/>
        <v>3.9734063999999995E-18</v>
      </c>
      <c r="H18" s="1">
        <f t="shared" si="2"/>
        <v>3.9734063999999995E-18</v>
      </c>
      <c r="I18" s="1">
        <f t="shared" si="2"/>
        <v>4.0214717999999995E-18</v>
      </c>
      <c r="J18" s="1">
        <f t="shared" si="2"/>
        <v>3.9413628E-18</v>
      </c>
    </row>
    <row r="19" spans="1:22" x14ac:dyDescent="0.2">
      <c r="C19" s="5">
        <v>450</v>
      </c>
      <c r="D19" s="1">
        <f t="shared" si="0"/>
        <v>3.9894281999999992E-18</v>
      </c>
      <c r="E19" s="1">
        <f t="shared" si="2"/>
        <v>3.9894281999999992E-18</v>
      </c>
      <c r="F19" s="1">
        <f t="shared" si="2"/>
        <v>3.8612537999999997E-18</v>
      </c>
      <c r="G19" s="1">
        <f t="shared" si="2"/>
        <v>3.9413628E-18</v>
      </c>
      <c r="H19" s="1">
        <f t="shared" si="2"/>
        <v>3.9734063999999995E-18</v>
      </c>
      <c r="I19" s="1">
        <f t="shared" si="2"/>
        <v>3.9413628E-18</v>
      </c>
      <c r="J19" s="1">
        <f t="shared" si="2"/>
        <v>3.9093191999999997E-18</v>
      </c>
    </row>
    <row r="20" spans="1:22" x14ac:dyDescent="0.2">
      <c r="C20" s="5">
        <v>500</v>
      </c>
      <c r="D20" s="1">
        <f t="shared" ref="D20:J20" si="3">D9*1.60218*10^(-19)</f>
        <v>3.9734063999999995E-18</v>
      </c>
      <c r="E20" s="1">
        <f t="shared" si="3"/>
        <v>3.9573845999999997E-18</v>
      </c>
      <c r="F20" s="1">
        <f t="shared" si="3"/>
        <v>3.8292101999999994E-18</v>
      </c>
      <c r="G20" s="1">
        <f t="shared" si="3"/>
        <v>3.9413628E-18</v>
      </c>
      <c r="H20" s="1">
        <f t="shared" si="3"/>
        <v>3.9253409999999995E-18</v>
      </c>
      <c r="I20" s="1">
        <f t="shared" si="3"/>
        <v>3.9573845999999997E-18</v>
      </c>
      <c r="J20" s="1">
        <f t="shared" si="3"/>
        <v>3.9253409999999995E-18</v>
      </c>
    </row>
    <row r="21" spans="1:22" ht="13.8" thickBot="1" x14ac:dyDescent="0.25">
      <c r="C21" s="7">
        <v>550</v>
      </c>
      <c r="D21" s="1">
        <f t="shared" ref="D21:J21" si="4">D10*1.60218*10^(-19)</f>
        <v>3.9734063999999995E-18</v>
      </c>
      <c r="E21" s="1">
        <f t="shared" si="4"/>
        <v>3.9573845999999997E-18</v>
      </c>
      <c r="F21" s="1">
        <f t="shared" si="4"/>
        <v>3.8131883999999997E-18</v>
      </c>
      <c r="G21" s="1">
        <f t="shared" si="4"/>
        <v>3.9573845999999997E-18</v>
      </c>
      <c r="H21" s="1">
        <f t="shared" si="4"/>
        <v>3.9253409999999995E-18</v>
      </c>
      <c r="I21" s="1">
        <f t="shared" si="4"/>
        <v>3.9894281999999992E-18</v>
      </c>
      <c r="J21" s="1">
        <f t="shared" si="4"/>
        <v>3.9093191999999997E-18</v>
      </c>
    </row>
    <row r="23" spans="1:22" ht="24" thickBot="1" x14ac:dyDescent="0.25">
      <c r="E23" s="10" t="s">
        <v>8</v>
      </c>
      <c r="L23" s="12" t="s">
        <v>15</v>
      </c>
      <c r="M23">
        <f>M3*M4/M2/M2/M6/M6</f>
        <v>2.8318389033891227E+64</v>
      </c>
    </row>
    <row r="24" spans="1:22" ht="13.8" x14ac:dyDescent="0.2">
      <c r="A24" s="25" t="s">
        <v>35</v>
      </c>
      <c r="C24" s="2" t="s">
        <v>7</v>
      </c>
      <c r="D24" s="3" t="s">
        <v>0</v>
      </c>
      <c r="E24" s="3" t="s">
        <v>1</v>
      </c>
      <c r="F24" s="3" t="s">
        <v>2</v>
      </c>
      <c r="G24" s="3" t="s">
        <v>3</v>
      </c>
      <c r="H24" s="3" t="s">
        <v>20</v>
      </c>
      <c r="I24" s="3" t="s">
        <v>5</v>
      </c>
      <c r="J24" s="4" t="s">
        <v>6</v>
      </c>
      <c r="Q24" s="27" t="s">
        <v>33</v>
      </c>
    </row>
    <row r="25" spans="1:22" x14ac:dyDescent="0.2">
      <c r="A25" s="25"/>
      <c r="C25" s="5">
        <v>20</v>
      </c>
      <c r="D25" s="1">
        <f t="shared" ref="D25:D30" si="5">D14*D14*2.83183890338912E+64</f>
        <v>4.6898460776422415E+29</v>
      </c>
      <c r="E25" s="1">
        <f t="shared" ref="E25:J25" si="6">E14*E14*2.83183890338912E+64</f>
        <v>4.6529908485306317E+29</v>
      </c>
      <c r="F25" s="1">
        <f t="shared" si="6"/>
        <v>4.327836134889152E+29</v>
      </c>
      <c r="G25" s="1">
        <f t="shared" si="6"/>
        <v>4.6529908485306317E+29</v>
      </c>
      <c r="H25" s="1">
        <f t="shared" si="6"/>
        <v>4.6162810049382011E+29</v>
      </c>
      <c r="I25" s="1">
        <f t="shared" si="6"/>
        <v>4.6529908485306317E+29</v>
      </c>
      <c r="J25" s="1">
        <f t="shared" si="6"/>
        <v>4.4349125697637105E+29</v>
      </c>
      <c r="M25" s="14">
        <v>2.8318389033891197E+64</v>
      </c>
      <c r="O25" s="20" t="s">
        <v>24</v>
      </c>
      <c r="P25" s="21" t="s">
        <v>25</v>
      </c>
      <c r="Q25" s="21" t="s">
        <v>26</v>
      </c>
      <c r="R25" s="21" t="s">
        <v>27</v>
      </c>
      <c r="S25" s="21" t="s">
        <v>28</v>
      </c>
      <c r="T25" s="21" t="s">
        <v>29</v>
      </c>
      <c r="U25" s="21" t="s">
        <v>30</v>
      </c>
      <c r="V25" s="22" t="s">
        <v>31</v>
      </c>
    </row>
    <row r="26" spans="1:22" x14ac:dyDescent="0.2">
      <c r="A26" s="25"/>
      <c r="C26" s="5">
        <v>100</v>
      </c>
      <c r="D26" s="1">
        <f t="shared" si="5"/>
        <v>4.6162810049382011E+29</v>
      </c>
      <c r="E26" s="1">
        <f t="shared" ref="E26:J30" si="7">E15*E15*2.83183890338912E+64</f>
        <v>4.6529908485306317E+29</v>
      </c>
      <c r="F26" s="1">
        <f t="shared" si="7"/>
        <v>4.3633828943281587E+29</v>
      </c>
      <c r="G26" s="1">
        <f t="shared" si="7"/>
        <v>4.4708954857602513E+29</v>
      </c>
      <c r="H26" s="1">
        <f t="shared" si="7"/>
        <v>4.5797165468649463E+29</v>
      </c>
      <c r="I26" s="1">
        <f t="shared" si="7"/>
        <v>4.6162810049382011E+29</v>
      </c>
      <c r="J26" s="1">
        <f t="shared" si="7"/>
        <v>4.4349125697637105E+29</v>
      </c>
      <c r="O26" s="23">
        <v>20</v>
      </c>
      <c r="P26" s="1">
        <v>4.6898460776422415E+29</v>
      </c>
      <c r="Q26" s="1">
        <v>4.6529908485306317E+29</v>
      </c>
      <c r="R26" s="1">
        <v>4.327836134889152E+29</v>
      </c>
      <c r="S26" s="1">
        <v>4.6529908485306317E+29</v>
      </c>
      <c r="T26" s="1">
        <v>4.6162810049382011E+29</v>
      </c>
      <c r="U26" s="1">
        <v>4.6529908485306317E+29</v>
      </c>
      <c r="V26" s="24">
        <v>4.4349125697637105E+29</v>
      </c>
    </row>
    <row r="27" spans="1:22" x14ac:dyDescent="0.2">
      <c r="A27" s="25"/>
      <c r="C27" s="5">
        <v>200</v>
      </c>
      <c r="D27" s="1">
        <f t="shared" si="5"/>
        <v>4.6162810049382011E+29</v>
      </c>
      <c r="E27" s="1">
        <f t="shared" si="7"/>
        <v>4.6162810049382011E+29</v>
      </c>
      <c r="F27" s="1">
        <f t="shared" si="7"/>
        <v>4.3633828943281587E+29</v>
      </c>
      <c r="G27" s="1">
        <f t="shared" si="7"/>
        <v>4.5432974743108699E+29</v>
      </c>
      <c r="H27" s="1">
        <f t="shared" si="7"/>
        <v>4.5797165468649463E+29</v>
      </c>
      <c r="I27" s="1">
        <f t="shared" si="7"/>
        <v>4.5432974743108699E+29</v>
      </c>
      <c r="J27" s="1">
        <f t="shared" si="7"/>
        <v>4.3633828943281587E+29</v>
      </c>
      <c r="L27">
        <f>M23*0.3*0.3*1.60218*10^(-19)*1.60218*10^(-19)</f>
        <v>6.5423483630076592E+25</v>
      </c>
      <c r="O27" s="23">
        <v>100</v>
      </c>
      <c r="P27" s="1">
        <v>4.6162810049382011E+29</v>
      </c>
      <c r="Q27" s="1">
        <v>4.6529908485306317E+29</v>
      </c>
      <c r="R27" s="1">
        <v>4.3633828943281587E+29</v>
      </c>
      <c r="S27" s="1">
        <v>4.4708954857602513E+29</v>
      </c>
      <c r="T27" s="1">
        <v>4.5797165468649463E+29</v>
      </c>
      <c r="U27" s="1">
        <v>4.6162810049382011E+29</v>
      </c>
      <c r="V27" s="24">
        <v>4.4349125697637105E+29</v>
      </c>
    </row>
    <row r="28" spans="1:22" x14ac:dyDescent="0.2">
      <c r="A28" s="25"/>
      <c r="C28" s="5">
        <v>300</v>
      </c>
      <c r="D28" s="1">
        <f t="shared" si="5"/>
        <v>4.5432974743108699E+29</v>
      </c>
      <c r="E28" s="1">
        <f t="shared" si="7"/>
        <v>4.6162810049382011E+29</v>
      </c>
      <c r="F28" s="1">
        <f t="shared" si="7"/>
        <v>4.327836134889152E+29</v>
      </c>
      <c r="G28" s="1">
        <f t="shared" si="7"/>
        <v>4.4349125697637105E+29</v>
      </c>
      <c r="H28" s="1">
        <f t="shared" si="7"/>
        <v>4.5070237872759713E+29</v>
      </c>
      <c r="I28" s="1">
        <f t="shared" si="7"/>
        <v>4.5432974743108699E+29</v>
      </c>
      <c r="J28" s="1">
        <f t="shared" si="7"/>
        <v>4.4349125697637105E+29</v>
      </c>
      <c r="O28" s="23">
        <v>200</v>
      </c>
      <c r="P28" s="1">
        <v>4.6162810049382011E+29</v>
      </c>
      <c r="Q28" s="1">
        <v>4.6162810049382011E+29</v>
      </c>
      <c r="R28" s="1">
        <v>4.3633828943281587E+29</v>
      </c>
      <c r="S28" s="1">
        <v>4.5432974743108699E+29</v>
      </c>
      <c r="T28" s="1">
        <v>4.5797165468649463E+29</v>
      </c>
      <c r="U28" s="1">
        <v>4.5432974743108699E+29</v>
      </c>
      <c r="V28" s="24">
        <v>4.3633828943281587E+29</v>
      </c>
    </row>
    <row r="29" spans="1:22" x14ac:dyDescent="0.2">
      <c r="A29" s="25"/>
      <c r="C29" s="5">
        <v>400</v>
      </c>
      <c r="D29" s="1">
        <f t="shared" si="5"/>
        <v>4.5070237872759713E+29</v>
      </c>
      <c r="E29" s="1">
        <f t="shared" si="7"/>
        <v>4.5070237872759713E+29</v>
      </c>
      <c r="F29" s="1">
        <f t="shared" si="7"/>
        <v>4.3633828943281587E+29</v>
      </c>
      <c r="G29" s="1">
        <f t="shared" si="7"/>
        <v>4.4708954857602513E+29</v>
      </c>
      <c r="H29" s="1">
        <f t="shared" si="7"/>
        <v>4.4708954857602513E+29</v>
      </c>
      <c r="I29" s="1">
        <f t="shared" si="7"/>
        <v>4.5797165468649463E+29</v>
      </c>
      <c r="J29" s="1">
        <f t="shared" si="7"/>
        <v>4.3990750392863467E+29</v>
      </c>
      <c r="L29">
        <f>(G27-G25)/(3*G27*(C27-C25))</f>
        <v>-4.4711111111111183E-5</v>
      </c>
      <c r="O29" s="17" t="s">
        <v>32</v>
      </c>
      <c r="P29" s="18">
        <f t="shared" ref="P29:V29" si="8">AVERAGE(P26:P28)</f>
        <v>4.6408026958395479E+29</v>
      </c>
      <c r="Q29" s="18">
        <f t="shared" si="8"/>
        <v>4.6407542339998218E+29</v>
      </c>
      <c r="R29" s="18">
        <f t="shared" si="8"/>
        <v>4.3515339745151567E+29</v>
      </c>
      <c r="S29" s="18">
        <f t="shared" si="8"/>
        <v>4.5557279362005845E+29</v>
      </c>
      <c r="T29" s="18">
        <f t="shared" si="8"/>
        <v>4.5919046995560315E+29</v>
      </c>
      <c r="U29" s="18">
        <f t="shared" si="8"/>
        <v>4.6041897759265676E+29</v>
      </c>
      <c r="V29" s="19">
        <f t="shared" si="8"/>
        <v>4.4110693446185265E+29</v>
      </c>
    </row>
    <row r="30" spans="1:22" x14ac:dyDescent="0.2">
      <c r="A30" s="25"/>
      <c r="C30" s="5">
        <v>450</v>
      </c>
      <c r="D30" s="1">
        <f t="shared" si="5"/>
        <v>4.5070237872759713E+29</v>
      </c>
      <c r="E30" s="1">
        <f t="shared" si="7"/>
        <v>4.5070237872759713E+29</v>
      </c>
      <c r="F30" s="1">
        <f t="shared" si="7"/>
        <v>4.2220681696871944E+29</v>
      </c>
      <c r="G30" s="1">
        <f t="shared" si="7"/>
        <v>4.3990750392863467E+29</v>
      </c>
      <c r="H30" s="1">
        <f t="shared" si="7"/>
        <v>4.4708954857602513E+29</v>
      </c>
      <c r="I30" s="1">
        <f t="shared" si="7"/>
        <v>4.3990750392863467E+29</v>
      </c>
      <c r="J30" s="1">
        <f t="shared" si="7"/>
        <v>4.327836134889152E+29</v>
      </c>
    </row>
    <row r="31" spans="1:22" x14ac:dyDescent="0.2">
      <c r="A31" s="25"/>
      <c r="C31" s="5">
        <v>500</v>
      </c>
      <c r="D31" s="1">
        <f t="shared" ref="D31:J31" si="9">D20*D20*2.83183890338912E+64</f>
        <v>4.4708954857602513E+29</v>
      </c>
      <c r="E31" s="1">
        <f t="shared" si="9"/>
        <v>4.4349125697637105E+29</v>
      </c>
      <c r="F31" s="1">
        <f t="shared" si="9"/>
        <v>4.1522831204817791E+29</v>
      </c>
      <c r="G31" s="1">
        <f t="shared" si="9"/>
        <v>4.3990750392863467E+29</v>
      </c>
      <c r="H31" s="1">
        <f t="shared" si="9"/>
        <v>4.3633828943281587E+29</v>
      </c>
      <c r="I31" s="1">
        <f t="shared" si="9"/>
        <v>4.4349125697637105E+29</v>
      </c>
      <c r="J31" s="1">
        <f t="shared" si="9"/>
        <v>4.3633828943281587E+29</v>
      </c>
      <c r="P31">
        <v>4.6408026958395479E+29</v>
      </c>
      <c r="R31" s="14">
        <v>4.3515339745151602E+29</v>
      </c>
    </row>
    <row r="32" spans="1:22" ht="13.8" thickBot="1" x14ac:dyDescent="0.25">
      <c r="A32" s="25"/>
      <c r="C32" s="7">
        <v>550</v>
      </c>
      <c r="D32" s="1">
        <f t="shared" ref="D32:J32" si="10">D21*D21*2.83183890338912E+64</f>
        <v>4.4708954857602513E+29</v>
      </c>
      <c r="E32" s="1">
        <f t="shared" si="10"/>
        <v>4.4349125697637105E+29</v>
      </c>
      <c r="F32" s="1">
        <f t="shared" si="10"/>
        <v>4.1176086741578385E+29</v>
      </c>
      <c r="G32" s="1">
        <f t="shared" si="10"/>
        <v>4.4349125697637105E+29</v>
      </c>
      <c r="H32" s="1">
        <f t="shared" si="10"/>
        <v>4.3633828943281587E+29</v>
      </c>
      <c r="I32" s="1">
        <f t="shared" si="10"/>
        <v>4.5070237872759713E+29</v>
      </c>
      <c r="J32" s="1">
        <f t="shared" si="10"/>
        <v>4.327836134889152E+29</v>
      </c>
    </row>
    <row r="33" spans="3:12" x14ac:dyDescent="0.2">
      <c r="C33" s="1"/>
      <c r="D33" s="1"/>
      <c r="E33" s="1"/>
      <c r="F33" s="1"/>
      <c r="G33" s="1"/>
      <c r="H33" s="1"/>
      <c r="I33" s="1"/>
      <c r="J33" s="1"/>
    </row>
    <row r="34" spans="3:12" x14ac:dyDescent="0.2">
      <c r="C34" s="1"/>
      <c r="D34" s="15">
        <v>4.6898460776422401E+29</v>
      </c>
      <c r="E34" s="15">
        <v>4.6529908485306303E+29</v>
      </c>
      <c r="F34" s="15">
        <v>4.3278361348891498E+29</v>
      </c>
      <c r="G34" s="15">
        <v>4.6529908485306303E+29</v>
      </c>
      <c r="H34" s="15">
        <v>4.6162810049381997E+29</v>
      </c>
      <c r="I34" s="15">
        <v>4.6529908485306303E+29</v>
      </c>
      <c r="J34" s="15">
        <v>4.4349125697637098E+29</v>
      </c>
    </row>
    <row r="36" spans="3:12" ht="16.8" thickBot="1" x14ac:dyDescent="0.25">
      <c r="E36" s="16" t="s">
        <v>17</v>
      </c>
    </row>
    <row r="37" spans="3:12" ht="13.8" x14ac:dyDescent="0.2">
      <c r="C37" s="2" t="s">
        <v>7</v>
      </c>
      <c r="D37" s="3" t="s">
        <v>0</v>
      </c>
      <c r="E37" s="3" t="s">
        <v>1</v>
      </c>
      <c r="F37" s="3" t="s">
        <v>2</v>
      </c>
      <c r="G37" s="3" t="s">
        <v>3</v>
      </c>
      <c r="H37" s="3" t="s">
        <v>20</v>
      </c>
      <c r="I37" s="3" t="s">
        <v>5</v>
      </c>
      <c r="J37" s="4" t="s">
        <v>6</v>
      </c>
    </row>
    <row r="38" spans="3:12" x14ac:dyDescent="0.2">
      <c r="C38" s="5">
        <v>20</v>
      </c>
      <c r="D38" s="1"/>
      <c r="E38" s="1"/>
      <c r="F38" s="1"/>
      <c r="G38" s="1"/>
      <c r="H38" s="1"/>
      <c r="I38" s="1"/>
      <c r="J38" s="1"/>
    </row>
    <row r="39" spans="3:12" x14ac:dyDescent="0.2">
      <c r="C39" s="5">
        <v>100</v>
      </c>
      <c r="D39" s="1">
        <f>(4.68984607764224E+29/D26-1)/(C26-20)/3</f>
        <v>6.6400016796839637E-5</v>
      </c>
      <c r="E39" s="1">
        <f t="shared" ref="E39:E45" si="11">(4.65299084853063E+29/E26-1)/(C26-20)/3</f>
        <v>-1.3877787807814456E-18</v>
      </c>
      <c r="F39" s="1">
        <f>(4.32783613488915E+29/F26-1)/(C26-20)/3</f>
        <v>-3.3944189920867098E-5</v>
      </c>
      <c r="G39" s="1">
        <f>(4.65299084853063E+29/G26-1)/(C26-20)/3</f>
        <v>1.6970440946930212E-4</v>
      </c>
      <c r="H39" s="1">
        <f>(4.6162810049382E+29/H26-1)/(C26-20)/3</f>
        <v>3.3266667724850722E-5</v>
      </c>
      <c r="I39" s="1">
        <f t="shared" ref="I39:I45" si="12">(4.65299084853063E+29/I26-1)/(C26-20)/3</f>
        <v>3.3134395733600001E-5</v>
      </c>
      <c r="J39" s="1">
        <f>(4.43491256976371E+29/J26-1)/(C26-20)/3</f>
        <v>-4.6259292692714855E-19</v>
      </c>
      <c r="L39">
        <f>15*(30/25)</f>
        <v>18</v>
      </c>
    </row>
    <row r="40" spans="3:12" x14ac:dyDescent="0.2">
      <c r="C40" s="5">
        <v>200</v>
      </c>
      <c r="D40" s="1">
        <f t="shared" ref="D40:D45" si="13">(4.68984607764224E+29/D27-1)/(C27-20)/3</f>
        <v>2.9511118576373173E-5</v>
      </c>
      <c r="E40" s="1">
        <f t="shared" si="11"/>
        <v>1.4726398103822221E-5</v>
      </c>
      <c r="F40" s="1">
        <f t="shared" ref="F40:F45" si="14">(4.32783613488915E+29/F27-1)/(C27-20)/3</f>
        <v>-1.5086306631496489E-5</v>
      </c>
      <c r="G40" s="1">
        <f t="shared" ref="G40:G45" si="15">(4.65299084853063E+29/G27-1)/(C27-20)/3</f>
        <v>4.4711111111110593E-5</v>
      </c>
      <c r="H40" s="1">
        <f t="shared" ref="H40:H45" si="16">(4.6162810049382E+29/H27-1)/(C27-20)/3</f>
        <v>1.4785185655489212E-5</v>
      </c>
      <c r="I40" s="1">
        <f t="shared" si="12"/>
        <v>4.4711111111110593E-5</v>
      </c>
      <c r="J40" s="1">
        <f t="shared" ref="J40:J45" si="17">(4.43491256976371E+29/J27-1)/(C27-20)/3</f>
        <v>3.0357721319820942E-5</v>
      </c>
    </row>
    <row r="41" spans="3:12" x14ac:dyDescent="0.2">
      <c r="C41" s="5">
        <v>300</v>
      </c>
      <c r="D41" s="1">
        <f t="shared" si="13"/>
        <v>3.8399999999999544E-5</v>
      </c>
      <c r="E41" s="1">
        <f t="shared" si="11"/>
        <v>9.4669702095999992E-6</v>
      </c>
      <c r="F41" s="1">
        <f t="shared" si="14"/>
        <v>-5.2867763077388402E-19</v>
      </c>
      <c r="G41" s="1">
        <f t="shared" si="15"/>
        <v>5.8539372411095651E-5</v>
      </c>
      <c r="H41" s="1">
        <f t="shared" si="16"/>
        <v>2.8858981537164369E-5</v>
      </c>
      <c r="I41" s="1">
        <f t="shared" si="12"/>
        <v>2.8742857142856814E-5</v>
      </c>
      <c r="J41" s="1">
        <f t="shared" si="17"/>
        <v>-1.32169407693471E-19</v>
      </c>
    </row>
    <row r="42" spans="3:12" x14ac:dyDescent="0.2">
      <c r="C42" s="5">
        <v>400</v>
      </c>
      <c r="D42" s="1">
        <f>(4.68984607764224E+29/D29-1)/(C29-20)/3</f>
        <v>3.5582334976487181E-5</v>
      </c>
      <c r="E42" s="1">
        <f t="shared" si="11"/>
        <v>2.8409275798324529E-5</v>
      </c>
      <c r="F42" s="1">
        <f t="shared" si="14"/>
        <v>-7.1461452464983367E-6</v>
      </c>
      <c r="G42" s="1">
        <f t="shared" si="15"/>
        <v>3.572724409880045E-5</v>
      </c>
      <c r="H42" s="1">
        <f t="shared" si="16"/>
        <v>2.8524745787465648E-5</v>
      </c>
      <c r="I42" s="1">
        <f t="shared" si="12"/>
        <v>1.4034864943663867E-5</v>
      </c>
      <c r="J42" s="1">
        <f t="shared" si="17"/>
        <v>7.1461454879844077E-6</v>
      </c>
    </row>
    <row r="43" spans="3:12" x14ac:dyDescent="0.2">
      <c r="C43" s="5">
        <v>450</v>
      </c>
      <c r="D43" s="1">
        <f t="shared" si="13"/>
        <v>3.1444854165267738E-5</v>
      </c>
      <c r="E43" s="1">
        <f t="shared" si="11"/>
        <v>2.5105871635728653E-5</v>
      </c>
      <c r="F43" s="1">
        <f t="shared" si="14"/>
        <v>1.9419551604555162E-5</v>
      </c>
      <c r="G43" s="1">
        <f t="shared" si="15"/>
        <v>4.4744397150910016E-5</v>
      </c>
      <c r="H43" s="1">
        <f t="shared" si="16"/>
        <v>2.5207914881946386E-5</v>
      </c>
      <c r="I43" s="1">
        <f t="shared" si="12"/>
        <v>4.4744397150910016E-5</v>
      </c>
      <c r="J43" s="1">
        <f t="shared" si="17"/>
        <v>1.9179327887602002E-5</v>
      </c>
    </row>
    <row r="44" spans="3:12" x14ac:dyDescent="0.2">
      <c r="C44" s="5">
        <v>500</v>
      </c>
      <c r="D44" s="1">
        <f>(4.68984607764224E+29/D31-1)/(C31-20)/3</f>
        <v>3.4008628165105764E-5</v>
      </c>
      <c r="E44" s="1">
        <f t="shared" si="11"/>
        <v>3.4147967239805804E-5</v>
      </c>
      <c r="F44" s="1">
        <f t="shared" si="14"/>
        <v>2.9360188605474791E-5</v>
      </c>
      <c r="G44" s="1">
        <f t="shared" si="15"/>
        <v>4.0083522447690222E-5</v>
      </c>
      <c r="H44" s="1">
        <f t="shared" si="16"/>
        <v>4.0249433106576137E-5</v>
      </c>
      <c r="I44" s="1">
        <f t="shared" si="12"/>
        <v>3.4147967239805804E-5</v>
      </c>
      <c r="J44" s="1">
        <f t="shared" si="17"/>
        <v>1.1384145494932854E-5</v>
      </c>
    </row>
    <row r="45" spans="3:12" ht="13.8" thickBot="1" x14ac:dyDescent="0.25">
      <c r="C45" s="7">
        <v>550</v>
      </c>
      <c r="D45" s="1">
        <f t="shared" si="13"/>
        <v>3.080026701745428E-5</v>
      </c>
      <c r="E45" s="1">
        <f t="shared" si="11"/>
        <v>3.092646089642789E-5</v>
      </c>
      <c r="F45" s="1">
        <f t="shared" si="14"/>
        <v>3.2110513461766333E-5</v>
      </c>
      <c r="G45" s="1">
        <f t="shared" si="15"/>
        <v>3.092646089642789E-5</v>
      </c>
      <c r="H45" s="1">
        <f t="shared" si="16"/>
        <v>3.6452316775767065E-5</v>
      </c>
      <c r="I45" s="1">
        <f t="shared" si="12"/>
        <v>2.036891472332702E-5</v>
      </c>
      <c r="J45" s="1">
        <f t="shared" si="17"/>
        <v>1.5560586776733698E-5</v>
      </c>
    </row>
    <row r="48" spans="3:12" ht="16.8" thickBot="1" x14ac:dyDescent="0.25">
      <c r="E48" s="16" t="s">
        <v>18</v>
      </c>
    </row>
    <row r="49" spans="1:10" ht="13.8" x14ac:dyDescent="0.2">
      <c r="C49" s="2" t="s">
        <v>7</v>
      </c>
      <c r="D49" s="3" t="s">
        <v>0</v>
      </c>
      <c r="E49" s="3" t="s">
        <v>1</v>
      </c>
      <c r="F49" s="3" t="s">
        <v>2</v>
      </c>
      <c r="G49" s="3" t="s">
        <v>3</v>
      </c>
      <c r="H49" s="3" t="s">
        <v>20</v>
      </c>
      <c r="I49" s="3" t="s">
        <v>5</v>
      </c>
      <c r="J49" s="4" t="s">
        <v>6</v>
      </c>
    </row>
    <row r="50" spans="1:10" x14ac:dyDescent="0.2">
      <c r="C50" s="5">
        <v>20</v>
      </c>
      <c r="D50" s="1"/>
      <c r="E50" s="1"/>
      <c r="F50" s="1"/>
      <c r="G50" s="1"/>
      <c r="H50" s="1"/>
      <c r="I50" s="1"/>
      <c r="J50" s="1"/>
    </row>
    <row r="51" spans="1:10" x14ac:dyDescent="0.2">
      <c r="C51" s="5">
        <v>100</v>
      </c>
      <c r="D51" s="1">
        <f>((D26/4.68984607764224E+29)*((3*15*10^(-6)*(C26-20)+1))-1)*100</f>
        <v>-1.2142501085001478</v>
      </c>
      <c r="E51" s="1">
        <f>((E26/4.65299084853063E+29)*((3*15*10^(-6)*(C26-20)+1))-1)*100</f>
        <v>0.36000000000002697</v>
      </c>
      <c r="F51" s="1">
        <f>((F26/4.32783613488915E+29)*((3*15*10^(-6)*(C26-20)+1))-1)*100</f>
        <v>1.1843086535877623</v>
      </c>
      <c r="G51" s="1">
        <f>((G26/4.65299084853063E+29)*((3*15*10^(-6)*(C26-20)+1))-1)*100</f>
        <v>-3.5676008061366171</v>
      </c>
      <c r="H51" s="1">
        <f>((H26/4.6162810049382E+29)*((3*15*10^(-6)*(C26-20)+1))-1)*100</f>
        <v>-0.43492756361802609</v>
      </c>
      <c r="I51" s="1">
        <f>((I26/4.65299084853063E+29)*((3*15*10^(-6)*(C26-20)+1))-1)*100</f>
        <v>-0.43179177928096557</v>
      </c>
      <c r="J51" s="1">
        <f>((J26/4.43491256976371E+29)*((3*15*10^(-6)*(C26-20)+1))-1)*100</f>
        <v>0.36000000000002697</v>
      </c>
    </row>
    <row r="52" spans="1:10" x14ac:dyDescent="0.2">
      <c r="C52" s="5">
        <v>200</v>
      </c>
      <c r="D52" s="1">
        <f t="shared" ref="D52:D57" si="18">((D27/4.68984607764224E+29)*((3*15*10^(-6)*(C27-20)+1))-1)*100</f>
        <v>-0.77130882261758904</v>
      </c>
      <c r="E52" s="1">
        <f t="shared" ref="E52:E57" si="19">((E27/4.65299084853063E+29)*((3*15*10^(-6)*(C27-20)+1))-1)*100</f>
        <v>1.4657938727435926E-2</v>
      </c>
      <c r="F52" s="1">
        <f t="shared" ref="F52:F57" si="20">((F27/4.32783613488915E+29)*((3*15*10^(-6)*(C27-20)+1))-1)*100</f>
        <v>1.638004736629961</v>
      </c>
      <c r="G52" s="1">
        <f t="shared" ref="G52:G57" si="21">((G27/4.65299084853063E+29)*((3*15*10^(-6)*(C27-20)+1))-1)*100</f>
        <v>-1.5665765751690874</v>
      </c>
      <c r="H52" s="1">
        <f t="shared" ref="H52:H57" si="22">((H27/4.6162810049382E+29)*((3*15*10^(-6)*(C27-20)+1))-1)*100</f>
        <v>1.1508093978340739E-2</v>
      </c>
      <c r="I52" s="1">
        <f t="shared" ref="I52:I57" si="23">((I27/4.65299084853063E+29)*((3*15*10^(-6)*(C27-20)+1))-1)*100</f>
        <v>-1.5665765751690874</v>
      </c>
      <c r="J52" s="1">
        <f t="shared" ref="J52:J57" si="24">((J27/4.43491256976371E+29)*((3*15*10^(-6)*(C27-20)+1))-1)*100</f>
        <v>-0.81594109065876719</v>
      </c>
    </row>
    <row r="53" spans="1:10" x14ac:dyDescent="0.2">
      <c r="C53" s="5">
        <v>300</v>
      </c>
      <c r="D53" s="1">
        <f t="shared" si="18"/>
        <v>-1.9041788083576039</v>
      </c>
      <c r="E53" s="1">
        <f t="shared" si="19"/>
        <v>0.46110765673583742</v>
      </c>
      <c r="F53" s="1">
        <f t="shared" si="20"/>
        <v>1.2600000000000389</v>
      </c>
      <c r="G53" s="1">
        <f t="shared" si="21"/>
        <v>-3.4858951085003365</v>
      </c>
      <c r="H53" s="1">
        <f t="shared" si="22"/>
        <v>-1.1366014739229269</v>
      </c>
      <c r="I53" s="1">
        <f t="shared" si="23"/>
        <v>-1.1271852395756676</v>
      </c>
      <c r="J53" s="1">
        <f t="shared" si="24"/>
        <v>1.2600000000000167</v>
      </c>
    </row>
    <row r="54" spans="1:10" x14ac:dyDescent="0.2">
      <c r="C54" s="5">
        <v>400</v>
      </c>
      <c r="D54" s="1">
        <f t="shared" si="18"/>
        <v>-2.254918004836004</v>
      </c>
      <c r="E54" s="1">
        <f t="shared" si="19"/>
        <v>-1.480702557452851</v>
      </c>
      <c r="F54" s="1">
        <f t="shared" si="20"/>
        <v>2.5453969027143364</v>
      </c>
      <c r="G54" s="1">
        <f t="shared" si="21"/>
        <v>-2.2704332203283828</v>
      </c>
      <c r="H54" s="1">
        <f t="shared" si="22"/>
        <v>-1.493262786596139</v>
      </c>
      <c r="I54" s="1">
        <f t="shared" si="23"/>
        <v>0.1082927400834377</v>
      </c>
      <c r="J54" s="1">
        <f t="shared" si="24"/>
        <v>0.8881043780425868</v>
      </c>
    </row>
    <row r="55" spans="1:10" x14ac:dyDescent="0.2">
      <c r="C55" s="5">
        <v>450</v>
      </c>
      <c r="D55" s="1">
        <f t="shared" si="18"/>
        <v>-2.0386890848781647</v>
      </c>
      <c r="E55" s="1">
        <f t="shared" si="19"/>
        <v>-1.2627609398678241</v>
      </c>
      <c r="F55" s="1">
        <f t="shared" si="20"/>
        <v>-0.55618894450413237</v>
      </c>
      <c r="G55" s="1">
        <f t="shared" si="21"/>
        <v>-3.6276389257760222</v>
      </c>
      <c r="H55" s="1">
        <f t="shared" si="22"/>
        <v>-1.2753489543965824</v>
      </c>
      <c r="I55" s="1">
        <f t="shared" si="23"/>
        <v>-3.6276389257760222</v>
      </c>
      <c r="J55" s="1">
        <f t="shared" si="24"/>
        <v>-0.52611647461848765</v>
      </c>
    </row>
    <row r="56" spans="1:10" x14ac:dyDescent="0.2">
      <c r="C56" s="5">
        <v>500</v>
      </c>
      <c r="D56" s="1">
        <f t="shared" si="18"/>
        <v>-2.6094512989025875</v>
      </c>
      <c r="E56" s="1">
        <f t="shared" si="19"/>
        <v>-2.6280766767172947</v>
      </c>
      <c r="F56" s="1">
        <f t="shared" si="20"/>
        <v>-1.9839868314968756</v>
      </c>
      <c r="G56" s="1">
        <f t="shared" si="21"/>
        <v>-3.414917277257834</v>
      </c>
      <c r="H56" s="1">
        <f t="shared" si="22"/>
        <v>-3.4367283950617389</v>
      </c>
      <c r="I56" s="1">
        <f t="shared" si="23"/>
        <v>-2.6280766767172947</v>
      </c>
      <c r="J56" s="1">
        <f t="shared" si="24"/>
        <v>0.51228507269418522</v>
      </c>
    </row>
    <row r="57" spans="1:10" ht="13.8" thickBot="1" x14ac:dyDescent="0.25">
      <c r="C57" s="7">
        <v>550</v>
      </c>
      <c r="D57" s="1">
        <f t="shared" si="18"/>
        <v>-2.3949556699113361</v>
      </c>
      <c r="E57" s="1">
        <f t="shared" si="19"/>
        <v>-2.4136220687715482</v>
      </c>
      <c r="F57" s="1">
        <f t="shared" si="20"/>
        <v>-2.5884180999730999</v>
      </c>
      <c r="G57" s="1">
        <f t="shared" si="21"/>
        <v>-2.4136220687715482</v>
      </c>
      <c r="H57" s="1">
        <f t="shared" si="22"/>
        <v>-3.2240547839506473</v>
      </c>
      <c r="I57" s="1">
        <f t="shared" si="23"/>
        <v>-0.82687770469777044</v>
      </c>
      <c r="J57" s="1">
        <f t="shared" si="24"/>
        <v>-8.6981265059249413E-2</v>
      </c>
    </row>
    <row r="62" spans="1:10" ht="16.8" thickBot="1" x14ac:dyDescent="0.25">
      <c r="E62" s="16" t="s">
        <v>19</v>
      </c>
    </row>
    <row r="63" spans="1:10" ht="13.8" x14ac:dyDescent="0.2">
      <c r="A63" s="25" t="s">
        <v>36</v>
      </c>
      <c r="C63" s="2" t="s">
        <v>7</v>
      </c>
      <c r="D63" s="3" t="s">
        <v>0</v>
      </c>
      <c r="E63" s="3" t="s">
        <v>1</v>
      </c>
      <c r="F63" s="3" t="s">
        <v>2</v>
      </c>
      <c r="G63" s="3" t="s">
        <v>3</v>
      </c>
      <c r="H63" s="3" t="s">
        <v>4</v>
      </c>
      <c r="I63" s="3" t="s">
        <v>5</v>
      </c>
      <c r="J63" s="4" t="s">
        <v>6</v>
      </c>
    </row>
    <row r="64" spans="1:10" x14ac:dyDescent="0.2">
      <c r="A64" s="25"/>
      <c r="C64" s="5">
        <v>20</v>
      </c>
      <c r="D64" s="15">
        <v>4.6898460776422401E+29</v>
      </c>
      <c r="E64" s="15">
        <v>4.6529908485306303E+29</v>
      </c>
      <c r="F64" s="15">
        <v>4.3278361348891498E+29</v>
      </c>
      <c r="G64" s="15">
        <v>4.6529908485306303E+29</v>
      </c>
      <c r="H64" s="15">
        <v>4.6162810049381997E+29</v>
      </c>
      <c r="I64" s="15">
        <v>4.6529908485306303E+29</v>
      </c>
      <c r="J64" s="15">
        <v>4.4349125697637098E+29</v>
      </c>
    </row>
    <row r="65" spans="1:10" x14ac:dyDescent="0.2">
      <c r="A65" s="25"/>
      <c r="C65" s="5">
        <v>100</v>
      </c>
      <c r="D65" s="1">
        <f>4.68984607764224E+29/(3*15*10^(-6)*(C65-20)+1)</f>
        <v>4.6730231941433237E+29</v>
      </c>
      <c r="E65" s="1">
        <f>4.65299084853063E+29/(3*15*10^(-6)*(C65-20)+1)</f>
        <v>4.6363001679260965E+29</v>
      </c>
      <c r="F65" s="1">
        <f>4.32783613488915E+29/(3*15*10^(-6)*(C65-20)+1)</f>
        <v>4.312311812364637E+29</v>
      </c>
      <c r="G65" s="1">
        <f t="shared" ref="G65:G71" si="25">4.65299084853063E+29/(3*15*10^(-6)*(C65-20)+1)</f>
        <v>4.6363001679260965E+29</v>
      </c>
      <c r="H65" s="1">
        <f>4.6162810049382E+29/(3*15*10^(-6)*(C65-20)+1)</f>
        <v>4.5997220057176159E+29</v>
      </c>
      <c r="I65" s="1">
        <f>4.65299084853063E+29/(3*15*10^(-6)*(C65-20)+1)</f>
        <v>4.6363001679260965E+29</v>
      </c>
      <c r="J65" s="1">
        <f>4.43491256976371E+29/(3*15*10^(-6)*(C65-20)+1)</f>
        <v>4.4190041548064067E+29</v>
      </c>
    </row>
    <row r="66" spans="1:10" x14ac:dyDescent="0.2">
      <c r="A66" s="25"/>
      <c r="C66" s="5">
        <v>200</v>
      </c>
      <c r="D66" s="1">
        <f t="shared" ref="D66:D71" si="26">4.68984607764224E+29/(3*15*10^(-6)*(C66-20)+1)</f>
        <v>4.6521635528640415E+29</v>
      </c>
      <c r="E66" s="1">
        <f t="shared" ref="E66:E71" si="27">4.65299084853063E+29/(3*15*10^(-6)*(C66-20)+1)</f>
        <v>4.6156044524656588E+29</v>
      </c>
      <c r="F66" s="1">
        <f t="shared" ref="F66:F71" si="28">4.32783613488915E+29/(3*15*10^(-6)*(C66-20)+1)</f>
        <v>4.2930623300160201E+29</v>
      </c>
      <c r="G66" s="1">
        <f t="shared" si="25"/>
        <v>4.6156044524656588E+29</v>
      </c>
      <c r="H66" s="1">
        <f t="shared" ref="H66:H71" si="29">4.6162810049382E+29/(3*15*10^(-6)*(C66-20)+1)</f>
        <v>4.5791895694258504E+29</v>
      </c>
      <c r="I66" s="1">
        <f t="shared" ref="I66:I71" si="30">4.65299084853063E+29/(3*15*10^(-6)*(C66-20)+1)</f>
        <v>4.6156044524656588E+29</v>
      </c>
      <c r="J66" s="1">
        <f t="shared" ref="J66:J71" si="31">4.43491256976371E+29/(3*15*10^(-6)*(C66-20)+1)</f>
        <v>4.399278414605406E+29</v>
      </c>
    </row>
    <row r="67" spans="1:10" x14ac:dyDescent="0.2">
      <c r="A67" s="25"/>
      <c r="C67" s="5">
        <v>300</v>
      </c>
      <c r="D67" s="1">
        <f t="shared" si="26"/>
        <v>4.6314893123071698E+29</v>
      </c>
      <c r="E67" s="1">
        <f t="shared" si="27"/>
        <v>4.595092680753141E+29</v>
      </c>
      <c r="F67" s="1">
        <f t="shared" si="28"/>
        <v>4.2739839372794291E+29</v>
      </c>
      <c r="G67" s="1">
        <f t="shared" si="25"/>
        <v>4.595092680753141E+29</v>
      </c>
      <c r="H67" s="1">
        <f t="shared" si="29"/>
        <v>4.5588396256549476E+29</v>
      </c>
      <c r="I67" s="1">
        <f t="shared" si="30"/>
        <v>4.595092680753141E+29</v>
      </c>
      <c r="J67" s="1">
        <f t="shared" si="31"/>
        <v>4.3797279970014913E+29</v>
      </c>
    </row>
    <row r="68" spans="1:10" x14ac:dyDescent="0.2">
      <c r="A68" s="25"/>
      <c r="C68" s="5">
        <v>400</v>
      </c>
      <c r="D68" s="1">
        <f t="shared" si="26"/>
        <v>4.6109980116431428E+29</v>
      </c>
      <c r="E68" s="1">
        <f t="shared" si="27"/>
        <v>4.5747624112974447E+29</v>
      </c>
      <c r="F68" s="1">
        <f t="shared" si="28"/>
        <v>4.2550743632771119E+29</v>
      </c>
      <c r="G68" s="1">
        <f t="shared" si="25"/>
        <v>4.5747624112974447E+29</v>
      </c>
      <c r="H68" s="1">
        <f t="shared" si="29"/>
        <v>4.5386697521759909E+29</v>
      </c>
      <c r="I68" s="1">
        <f t="shared" si="30"/>
        <v>4.5747624112974447E+29</v>
      </c>
      <c r="J68" s="1">
        <f t="shared" si="31"/>
        <v>4.3603505749323666E+29</v>
      </c>
    </row>
    <row r="69" spans="1:10" x14ac:dyDescent="0.2">
      <c r="A69" s="25"/>
      <c r="C69" s="5">
        <v>450</v>
      </c>
      <c r="D69" s="1">
        <f t="shared" si="26"/>
        <v>4.6008202066436851E+29</v>
      </c>
      <c r="E69" s="1">
        <f t="shared" si="27"/>
        <v>4.5646645887385396E+29</v>
      </c>
      <c r="F69" s="1">
        <f t="shared" si="28"/>
        <v>4.2456821846168143E+29</v>
      </c>
      <c r="G69" s="1">
        <f t="shared" si="25"/>
        <v>4.5646645887385396E+29</v>
      </c>
      <c r="H69" s="1">
        <f t="shared" si="29"/>
        <v>4.5286515965450531E+29</v>
      </c>
      <c r="I69" s="1">
        <f t="shared" si="30"/>
        <v>4.5646645887385396E+29</v>
      </c>
      <c r="J69" s="1">
        <f t="shared" si="31"/>
        <v>4.3507260212524745E+29</v>
      </c>
    </row>
    <row r="70" spans="1:10" x14ac:dyDescent="0.2">
      <c r="A70" s="25"/>
      <c r="C70" s="5">
        <v>500</v>
      </c>
      <c r="D70" s="1">
        <f t="shared" si="26"/>
        <v>4.5906872334007831E+29</v>
      </c>
      <c r="E70" s="1">
        <f t="shared" si="27"/>
        <v>4.5546112456251272E+29</v>
      </c>
      <c r="F70" s="1">
        <f t="shared" si="28"/>
        <v>4.2363313771428635E+29</v>
      </c>
      <c r="G70" s="1">
        <f t="shared" si="25"/>
        <v>4.5546112456251272E+29</v>
      </c>
      <c r="H70" s="1">
        <f t="shared" si="29"/>
        <v>4.5186775694383313E+29</v>
      </c>
      <c r="I70" s="1">
        <f t="shared" si="30"/>
        <v>4.5546112456251272E+29</v>
      </c>
      <c r="J70" s="1">
        <f t="shared" si="31"/>
        <v>4.3411438623372256E+29</v>
      </c>
    </row>
    <row r="71" spans="1:10" ht="13.8" thickBot="1" x14ac:dyDescent="0.25">
      <c r="A71" s="25"/>
      <c r="C71" s="7">
        <v>550</v>
      </c>
      <c r="D71" s="1">
        <f t="shared" si="26"/>
        <v>4.5805987963493097E+29</v>
      </c>
      <c r="E71" s="1">
        <f t="shared" si="27"/>
        <v>4.5446020887147831E+29</v>
      </c>
      <c r="F71" s="1">
        <f t="shared" si="28"/>
        <v>4.2270216681048495E+29</v>
      </c>
      <c r="G71" s="1">
        <f t="shared" si="25"/>
        <v>4.5446020887147831E+29</v>
      </c>
      <c r="H71" s="1">
        <f t="shared" si="29"/>
        <v>4.5087473799269424E+29</v>
      </c>
      <c r="I71" s="1">
        <f t="shared" si="30"/>
        <v>4.5446020887147831E+29</v>
      </c>
      <c r="J71" s="1">
        <f t="shared" si="31"/>
        <v>4.3316038186880014E+29</v>
      </c>
    </row>
    <row r="74" spans="1:10" x14ac:dyDescent="0.2">
      <c r="C74" t="s">
        <v>21</v>
      </c>
      <c r="D74" s="14">
        <f>AVERAGE(D25:D27)</f>
        <v>4.6408026958395479E+29</v>
      </c>
      <c r="F74" s="14">
        <f>AVERAGE(F25:F27)</f>
        <v>4.3515339745151567E+29</v>
      </c>
      <c r="H74" s="14">
        <f>AVERAGE(H25:H27)</f>
        <v>4.5919046995560315E+29</v>
      </c>
      <c r="J74" s="14">
        <f>AVERAGE(J25:J27)</f>
        <v>4.4110693446185265E+29</v>
      </c>
    </row>
    <row r="75" spans="1:10" x14ac:dyDescent="0.2">
      <c r="D75" s="14">
        <f>D74-D65</f>
        <v>-3.2220498303775766E+27</v>
      </c>
      <c r="F75" s="14">
        <f>F74-F65</f>
        <v>3.9222162150519669E+27</v>
      </c>
      <c r="H75" s="14">
        <f>H74-H65</f>
        <v>-7.8173061615844459E+26</v>
      </c>
      <c r="J75" s="14">
        <f>J74-J65</f>
        <v>-7.9348101878801833E+26</v>
      </c>
    </row>
    <row r="78" spans="1:10" x14ac:dyDescent="0.2">
      <c r="C78" t="s">
        <v>22</v>
      </c>
      <c r="D78">
        <f>M6*SQRT(M2*M2*4.616E+29/M4/M3)-M6*SQRT(M2*M2*4.544E+29/M4/M3)</f>
        <v>3.1611044345202487E-20</v>
      </c>
    </row>
    <row r="79" spans="1:10" x14ac:dyDescent="0.2">
      <c r="C79" t="s">
        <v>23</v>
      </c>
      <c r="D79">
        <f>D78/M5</f>
        <v>0.19730020562734829</v>
      </c>
    </row>
  </sheetData>
  <mergeCells count="3">
    <mergeCell ref="A2:A10"/>
    <mergeCell ref="A24:A32"/>
    <mergeCell ref="A63:A7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Sengo</dc:creator>
  <cp:lastModifiedBy>Sengo Kobayashi</cp:lastModifiedBy>
  <dcterms:created xsi:type="dcterms:W3CDTF">2008-03-19T03:51:59Z</dcterms:created>
  <dcterms:modified xsi:type="dcterms:W3CDTF">2021-05-06T07:54:40Z</dcterms:modified>
</cp:coreProperties>
</file>